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598" activeTab="0"/>
  </bookViews>
  <sheets>
    <sheet name="подр (2)" sheetId="1" r:id="rId1"/>
    <sheet name="акт кор" sheetId="2" state="hidden" r:id="rId2"/>
    <sheet name="Лист1" sheetId="3" state="hidden" r:id="rId3"/>
  </sheets>
  <definedNames>
    <definedName name="_xlnm._FilterDatabase" localSheetId="1" hidden="1">'акт кор'!$A$4:$F$51</definedName>
    <definedName name="_xlnm._FilterDatabase" localSheetId="0" hidden="1">'подр (2)'!$A$4:$K$21</definedName>
    <definedName name="_xlnm.Print_Titles" localSheetId="1">'акт кор'!$4:$4</definedName>
    <definedName name="_xlnm.Print_Titles" localSheetId="0">'подр (2)'!$4:$4</definedName>
    <definedName name="_xlnm.Print_Area" localSheetId="1">'акт кор'!$A$1:$F$51</definedName>
    <definedName name="_xlnm.Print_Area" localSheetId="0">'подр (2)'!$A$1:$K$21</definedName>
  </definedNames>
  <calcPr fullCalcOnLoad="1"/>
</workbook>
</file>

<file path=xl/comments2.xml><?xml version="1.0" encoding="utf-8"?>
<comments xmlns="http://schemas.openxmlformats.org/spreadsheetml/2006/main">
  <authors>
    <author>WinXPProSP3</author>
  </authors>
  <commentList>
    <comment ref="D7" authorId="0">
      <text>
        <r>
          <rPr>
            <b/>
            <sz val="8"/>
            <rFont val="Tahoma"/>
            <family val="2"/>
          </rPr>
          <t>WinXPProSP3:</t>
        </r>
        <r>
          <rPr>
            <sz val="8"/>
            <rFont val="Tahoma"/>
            <family val="2"/>
          </rPr>
          <t xml:space="preserve">
в тендерной документации 495 м кв</t>
        </r>
      </text>
    </comment>
    <comment ref="D36" authorId="0">
      <text>
        <r>
          <rPr>
            <b/>
            <sz val="8"/>
            <rFont val="Tahoma"/>
            <family val="2"/>
          </rPr>
          <t>WinXPProSP3:</t>
        </r>
        <r>
          <rPr>
            <sz val="8"/>
            <rFont val="Tahoma"/>
            <family val="2"/>
          </rPr>
          <t xml:space="preserve">
в тендерной документации 2 шт</t>
        </r>
      </text>
    </comment>
    <comment ref="D40" authorId="0">
      <text>
        <r>
          <rPr>
            <b/>
            <sz val="8"/>
            <rFont val="Tahoma"/>
            <family val="2"/>
          </rPr>
          <t>WinXPProSP3:</t>
        </r>
        <r>
          <rPr>
            <sz val="8"/>
            <rFont val="Tahoma"/>
            <family val="2"/>
          </rPr>
          <t xml:space="preserve">
нет в тендерной документации</t>
        </r>
      </text>
    </comment>
  </commentList>
</comments>
</file>

<file path=xl/sharedStrings.xml><?xml version="1.0" encoding="utf-8"?>
<sst xmlns="http://schemas.openxmlformats.org/spreadsheetml/2006/main" count="146" uniqueCount="82">
  <si>
    <t>№ п/п</t>
  </si>
  <si>
    <t>м2</t>
  </si>
  <si>
    <t>шт</t>
  </si>
  <si>
    <t>Найменування робіт</t>
  </si>
  <si>
    <t>Од. вим.</t>
  </si>
  <si>
    <t xml:space="preserve">К-ть    </t>
  </si>
  <si>
    <t>Ціна, грн</t>
  </si>
  <si>
    <t>Вартість, грн</t>
  </si>
  <si>
    <t>Сума по роботах</t>
  </si>
  <si>
    <t>Всього по роботах</t>
  </si>
  <si>
    <t>Прибирання після будівельних робіт</t>
  </si>
  <si>
    <t>Всього по кошторису, грн :</t>
  </si>
  <si>
    <t>Всього:</t>
  </si>
  <si>
    <t>Витратні матеріали 2%</t>
  </si>
  <si>
    <t>люд/зм</t>
  </si>
  <si>
    <t>Адміністративні витрати, 3%</t>
  </si>
  <si>
    <t>Транспортні витрати, 2%</t>
  </si>
  <si>
    <t>Навантаж-розвантаж.роботи та винос будівельного сміття та піднесення будматеріалів</t>
  </si>
  <si>
    <t>ПДВ, 20%</t>
  </si>
  <si>
    <t>Всього по кошторису з ПДВ :</t>
  </si>
  <si>
    <t xml:space="preserve"> </t>
  </si>
  <si>
    <t>Монтажные работы</t>
  </si>
  <si>
    <t>Окраска стен за 2 раза</t>
  </si>
  <si>
    <t>Потолок (торговый зал)</t>
  </si>
  <si>
    <t>Грунтовка потолка с коммуникациями (по факту)</t>
  </si>
  <si>
    <t>Окраска потолка с коммуникациями (по факту)</t>
  </si>
  <si>
    <t>Улаштування захисного покриття на вікна та двері</t>
  </si>
  <si>
    <t>Стены (торговый зал)</t>
  </si>
  <si>
    <t>Облицовка стены декоративной плиткой</t>
  </si>
  <si>
    <t>Обеспылевание поверхности</t>
  </si>
  <si>
    <t>Окраска стен за 3 раза по плитке (брэндовая стена)</t>
  </si>
  <si>
    <t>Грунтовка стен и откосов, дверь</t>
  </si>
  <si>
    <t>Стены (тех помещения)</t>
  </si>
  <si>
    <t>Устройство перегородок ГКЛ 100 мм шаг 600мм</t>
  </si>
  <si>
    <t>Заделка стыков ГКЛ стен</t>
  </si>
  <si>
    <t>Грунтовка стен</t>
  </si>
  <si>
    <t>Шпаклевка ГК стен и перегородок финиш</t>
  </si>
  <si>
    <t>Монтаж дверей межкомнатных</t>
  </si>
  <si>
    <t>Отделочные работы</t>
  </si>
  <si>
    <t>Вывоз мусора</t>
  </si>
  <si>
    <t>Сметный расчет</t>
  </si>
  <si>
    <t>гкл перегородки</t>
  </si>
  <si>
    <t>стены</t>
  </si>
  <si>
    <t>зал</t>
  </si>
  <si>
    <t>техпомещения</t>
  </si>
  <si>
    <t>ув</t>
  </si>
  <si>
    <t>цв</t>
  </si>
  <si>
    <t>Другие работы</t>
  </si>
  <si>
    <t>фальшстены</t>
  </si>
  <si>
    <t>Устройство фальшстен ГКЛ 100 мм шаг 600мм</t>
  </si>
  <si>
    <t>Монтаж дверей металлических</t>
  </si>
  <si>
    <t>Формирование дверного проема</t>
  </si>
  <si>
    <t>Подготовка помещения под окраску (защита пола)</t>
  </si>
  <si>
    <t>Санузел</t>
  </si>
  <si>
    <t>Монтаж унитаза</t>
  </si>
  <si>
    <t>Монтаж умывальника</t>
  </si>
  <si>
    <t>Монтаж смесителя</t>
  </si>
  <si>
    <t>Укладка плитки керамической на стены и пол (санузлы)</t>
  </si>
  <si>
    <t>Устройство точки канализации</t>
  </si>
  <si>
    <t>Устройство точки холодной воды</t>
  </si>
  <si>
    <t xml:space="preserve">на ремонто-строительные работи магазина </t>
  </si>
  <si>
    <t xml:space="preserve">Найменування матеріалів                                           </t>
  </si>
  <si>
    <t>меш</t>
  </si>
  <si>
    <t>мп</t>
  </si>
  <si>
    <t>Сума по матеріалах</t>
  </si>
  <si>
    <t>Мішки для сміття (по факту)</t>
  </si>
  <si>
    <t>Всього по матеріалах</t>
  </si>
  <si>
    <t>Дата складання: 5.05.2018</t>
  </si>
  <si>
    <t>Уборка мусора после работ</t>
  </si>
  <si>
    <t>Цементно - песчаная смесь</t>
  </si>
  <si>
    <t>Монтаж  жб плит с сохранением 800х400х80</t>
  </si>
  <si>
    <t>на ремонтные работы крыши в главном офисе</t>
  </si>
  <si>
    <t>Клей для газобетона</t>
  </si>
  <si>
    <t>Кладка газобетона</t>
  </si>
  <si>
    <t>Газобетон б/у</t>
  </si>
  <si>
    <t>Покрытие плит гидроизоляционной смесью</t>
  </si>
  <si>
    <t>Мастика битумная Ореол-1 фундаментная 25 кг.</t>
  </si>
  <si>
    <t>Пена монтажная BauGut 750 мл…</t>
  </si>
  <si>
    <t>Герметизация вокруг труб монтажной пены</t>
  </si>
  <si>
    <t>Всього по матеріалах з ПДВ, 20%</t>
  </si>
  <si>
    <r>
      <rPr>
        <b/>
        <u val="single"/>
        <sz val="12"/>
        <rFont val="Calibri"/>
        <family val="2"/>
      </rPr>
      <t>Примечание 1:</t>
    </r>
    <r>
      <rPr>
        <b/>
        <sz val="12"/>
        <rFont val="Calibri"/>
        <family val="2"/>
      </rPr>
      <t xml:space="preserve"> Поточные цены на материальные ресурсы приняты положением на "6" августа 2018 года;</t>
    </r>
  </si>
  <si>
    <r>
      <rPr>
        <b/>
        <u val="single"/>
        <sz val="12"/>
        <rFont val="Calibri"/>
        <family val="2"/>
      </rPr>
      <t>Примечание 2:</t>
    </r>
    <r>
      <rPr>
        <b/>
        <sz val="12"/>
        <rFont val="Calibri"/>
        <family val="2"/>
      </rPr>
      <t xml:space="preserve"> Курс валют принят в расчет положением на 6.08.2018 г. Подрядчик оставляет за собой право менять стоимость материалов привязанных к курсу валют на момент подписания Договора.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</si>
</sst>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[$-419]0%"/>
    <numFmt numFmtId="174" formatCode="[$-419]#,##0.00"/>
    <numFmt numFmtId="175" formatCode="#,##0.00&quot; &quot;[$руб.-419];[Red]&quot;-&quot;#,##0.00&quot; &quot;[$руб.-419]"/>
    <numFmt numFmtId="176" formatCode="General_)"/>
    <numFmt numFmtId="177" formatCode="0.000"/>
    <numFmt numFmtId="178" formatCode="_-* #,##0.00_₴_-;\-* #,##0.00_₴_-;_-* &quot;-&quot;??_₴_-;_-@_-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0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b/>
      <sz val="5"/>
      <name val="Arial"/>
      <family val="2"/>
    </font>
    <font>
      <sz val="5"/>
      <name val="Arial"/>
      <family val="2"/>
    </font>
    <font>
      <b/>
      <sz val="11"/>
      <name val="Calibri"/>
      <family val="2"/>
    </font>
    <font>
      <sz val="10"/>
      <name val="Arial Cyr"/>
      <family val="0"/>
    </font>
    <font>
      <sz val="9"/>
      <name val="Geneva"/>
      <family val="0"/>
    </font>
    <font>
      <sz val="8"/>
      <name val="Arial"/>
      <family val="2"/>
    </font>
    <font>
      <sz val="10"/>
      <name val="Courier New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color indexed="8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9"/>
      <name val="Arial"/>
      <family val="2"/>
    </font>
    <font>
      <b/>
      <u val="single"/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rgb="FF1F497D"/>
      <name val="Calibri"/>
      <family val="2"/>
    </font>
    <font>
      <sz val="11"/>
      <color rgb="FF000000"/>
      <name val="Calibri"/>
      <family val="2"/>
    </font>
    <font>
      <b/>
      <sz val="18"/>
      <color rgb="FF1F497D"/>
      <name val="Cambria"/>
      <family val="1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0"/>
      <color rgb="FF000000"/>
      <name val="Helv"/>
      <family val="0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A7C0DE"/>
      </bottom>
    </border>
    <border>
      <left/>
      <right/>
      <top/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Protection="0">
      <alignment/>
    </xf>
    <xf numFmtId="172" fontId="59" fillId="0" borderId="1" applyProtection="0">
      <alignment/>
    </xf>
    <xf numFmtId="172" fontId="60" fillId="0" borderId="0" applyBorder="0" applyProtection="0">
      <alignment/>
    </xf>
    <xf numFmtId="0" fontId="1" fillId="0" borderId="0" applyBorder="0" applyProtection="0">
      <alignment/>
    </xf>
    <xf numFmtId="172" fontId="61" fillId="0" borderId="0" applyBorder="0" applyProtection="0">
      <alignment/>
    </xf>
    <xf numFmtId="0" fontId="3" fillId="0" borderId="2" applyNumberFormat="0" applyFill="0" applyAlignment="0" applyProtection="0"/>
    <xf numFmtId="0" fontId="0" fillId="0" borderId="0" applyNumberFormat="0" applyFont="0" applyFill="0" applyBorder="0" applyAlignment="0" applyProtection="0"/>
    <xf numFmtId="0" fontId="62" fillId="0" borderId="0" applyNumberFormat="0" applyBorder="0" applyProtection="0">
      <alignment horizontal="center"/>
    </xf>
    <xf numFmtId="0" fontId="62" fillId="0" borderId="0" applyNumberFormat="0" applyBorder="0" applyProtection="0">
      <alignment horizontal="center" textRotation="90"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Border="0" applyProtection="0">
      <alignment/>
    </xf>
    <xf numFmtId="175" fontId="63" fillId="0" borderId="0" applyBorder="0" applyProtection="0">
      <alignment/>
    </xf>
    <xf numFmtId="0" fontId="64" fillId="0" borderId="0">
      <alignment horizontal="left" vertical="top"/>
      <protection/>
    </xf>
    <xf numFmtId="0" fontId="65" fillId="0" borderId="0">
      <alignment horizontal="right" vertical="top"/>
      <protection/>
    </xf>
    <xf numFmtId="0" fontId="64" fillId="0" borderId="0">
      <alignment horizontal="right" vertical="top"/>
      <protection/>
    </xf>
    <xf numFmtId="0" fontId="64" fillId="0" borderId="0">
      <alignment horizontal="right" vertical="center"/>
      <protection/>
    </xf>
    <xf numFmtId="0" fontId="64" fillId="0" borderId="0">
      <alignment horizontal="left" vertical="top"/>
      <protection/>
    </xf>
    <xf numFmtId="0" fontId="64" fillId="0" borderId="0">
      <alignment horizontal="left" vertical="center"/>
      <protection/>
    </xf>
    <xf numFmtId="0" fontId="64" fillId="0" borderId="0">
      <alignment horizontal="center" vertical="top"/>
      <protection/>
    </xf>
    <xf numFmtId="0" fontId="14" fillId="0" borderId="0">
      <alignment/>
      <protection/>
    </xf>
    <xf numFmtId="176" fontId="16" fillId="0" borderId="0">
      <alignment/>
      <protection/>
    </xf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6" fillId="27" borderId="3" applyNumberFormat="0" applyAlignment="0" applyProtection="0"/>
    <xf numFmtId="0" fontId="67" fillId="28" borderId="4" applyNumberFormat="0" applyAlignment="0" applyProtection="0"/>
    <xf numFmtId="0" fontId="68" fillId="28" borderId="3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172" fontId="60" fillId="0" borderId="0" applyBorder="0" applyProtection="0">
      <alignment/>
    </xf>
    <xf numFmtId="172" fontId="77" fillId="0" borderId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172" fontId="78" fillId="0" borderId="0" applyBorder="0" applyProtection="0">
      <alignment/>
    </xf>
    <xf numFmtId="0" fontId="15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173" fontId="60" fillId="0" borderId="0" applyBorder="0" applyProtection="0">
      <alignment/>
    </xf>
    <xf numFmtId="0" fontId="81" fillId="0" borderId="11" applyNumberFormat="0" applyFill="0" applyAlignment="0" applyProtection="0"/>
    <xf numFmtId="172" fontId="82" fillId="0" borderId="0" applyBorder="0" applyProtection="0">
      <alignment/>
    </xf>
    <xf numFmtId="0" fontId="4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4" fillId="33" borderId="0" applyNumberFormat="0" applyBorder="0" applyAlignment="0" applyProtection="0"/>
  </cellStyleXfs>
  <cellXfs count="149">
    <xf numFmtId="0" fontId="0" fillId="0" borderId="0" xfId="0" applyAlignment="1">
      <alignment/>
    </xf>
    <xf numFmtId="172" fontId="60" fillId="0" borderId="0" xfId="78" applyFont="1" applyFill="1" applyAlignment="1">
      <alignment/>
    </xf>
    <xf numFmtId="172" fontId="2" fillId="0" borderId="0" xfId="78" applyFont="1" applyFill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2" fillId="0" borderId="0" xfId="78" applyNumberFormat="1" applyFont="1" applyFill="1" applyAlignment="1">
      <alignment/>
    </xf>
    <xf numFmtId="172" fontId="12" fillId="0" borderId="0" xfId="78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5" fillId="34" borderId="0" xfId="0" applyFont="1" applyFill="1" applyBorder="1" applyAlignment="1">
      <alignment/>
    </xf>
    <xf numFmtId="4" fontId="85" fillId="34" borderId="0" xfId="0" applyNumberFormat="1" applyFont="1" applyFill="1" applyBorder="1" applyAlignment="1">
      <alignment/>
    </xf>
    <xf numFmtId="172" fontId="12" fillId="9" borderId="0" xfId="78" applyFont="1" applyFill="1" applyAlignment="1">
      <alignment/>
    </xf>
    <xf numFmtId="0" fontId="6" fillId="0" borderId="12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4" fontId="0" fillId="0" borderId="0" xfId="78" applyNumberFormat="1" applyFont="1" applyFill="1" applyAlignment="1">
      <alignment/>
    </xf>
    <xf numFmtId="174" fontId="8" fillId="35" borderId="12" xfId="36" applyNumberFormat="1" applyFont="1" applyFill="1" applyBorder="1" applyAlignment="1">
      <alignment horizontal="center" wrapText="1"/>
    </xf>
    <xf numFmtId="172" fontId="8" fillId="35" borderId="12" xfId="36" applyFont="1" applyFill="1" applyBorder="1" applyAlignment="1">
      <alignment horizontal="center" wrapText="1"/>
    </xf>
    <xf numFmtId="4" fontId="8" fillId="35" borderId="12" xfId="36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2" fontId="7" fillId="0" borderId="0" xfId="78" applyFont="1" applyFill="1" applyAlignment="1">
      <alignment/>
    </xf>
    <xf numFmtId="0" fontId="1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9" borderId="0" xfId="0" applyFont="1" applyFill="1" applyAlignment="1">
      <alignment/>
    </xf>
    <xf numFmtId="0" fontId="2" fillId="9" borderId="0" xfId="0" applyFont="1" applyFill="1" applyAlignment="1">
      <alignment/>
    </xf>
    <xf numFmtId="0" fontId="2" fillId="9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10" fillId="0" borderId="0" xfId="0" applyFont="1" applyAlignment="1">
      <alignment/>
    </xf>
    <xf numFmtId="172" fontId="52" fillId="0" borderId="0" xfId="78" applyFont="1" applyFill="1" applyAlignment="1">
      <alignment/>
    </xf>
    <xf numFmtId="0" fontId="2" fillId="0" borderId="0" xfId="0" applyFont="1" applyFill="1" applyBorder="1" applyAlignment="1">
      <alignment/>
    </xf>
    <xf numFmtId="172" fontId="52" fillId="9" borderId="0" xfId="78" applyFont="1" applyFill="1" applyAlignment="1">
      <alignment/>
    </xf>
    <xf numFmtId="0" fontId="11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0" fillId="0" borderId="12" xfId="0" applyBorder="1" applyAlignment="1">
      <alignment/>
    </xf>
    <xf numFmtId="49" fontId="25" fillId="0" borderId="12" xfId="0" applyNumberFormat="1" applyFont="1" applyBorder="1" applyAlignment="1">
      <alignment/>
    </xf>
    <xf numFmtId="4" fontId="6" fillId="36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174" fontId="20" fillId="37" borderId="12" xfId="36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79" applyNumberFormat="1" applyFont="1" applyBorder="1" applyAlignment="1">
      <alignment shrinkToFit="1"/>
    </xf>
    <xf numFmtId="0" fontId="86" fillId="38" borderId="12" xfId="0" applyFont="1" applyFill="1" applyBorder="1" applyAlignment="1">
      <alignment/>
    </xf>
    <xf numFmtId="4" fontId="86" fillId="38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4" fontId="6" fillId="0" borderId="13" xfId="79" applyNumberFormat="1" applyFont="1" applyBorder="1" applyAlignment="1">
      <alignment shrinkToFit="1"/>
    </xf>
    <xf numFmtId="4" fontId="6" fillId="0" borderId="13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85" fillId="39" borderId="0" xfId="0" applyFont="1" applyFill="1" applyBorder="1" applyAlignment="1">
      <alignment/>
    </xf>
    <xf numFmtId="4" fontId="85" fillId="39" borderId="0" xfId="0" applyNumberFormat="1" applyFont="1" applyFill="1" applyBorder="1" applyAlignment="1">
      <alignment/>
    </xf>
    <xf numFmtId="0" fontId="85" fillId="39" borderId="14" xfId="0" applyFont="1" applyFill="1" applyBorder="1" applyAlignment="1">
      <alignment/>
    </xf>
    <xf numFmtId="4" fontId="85" fillId="39" borderId="14" xfId="0" applyNumberFormat="1" applyFont="1" applyFill="1" applyBorder="1" applyAlignment="1">
      <alignment/>
    </xf>
    <xf numFmtId="0" fontId="85" fillId="39" borderId="15" xfId="0" applyFont="1" applyFill="1" applyBorder="1" applyAlignment="1">
      <alignment/>
    </xf>
    <xf numFmtId="4" fontId="85" fillId="39" borderId="15" xfId="0" applyNumberFormat="1" applyFont="1" applyFill="1" applyBorder="1" applyAlignment="1">
      <alignment/>
    </xf>
    <xf numFmtId="172" fontId="2" fillId="0" borderId="13" xfId="78" applyFont="1" applyFill="1" applyBorder="1" applyAlignment="1">
      <alignment/>
    </xf>
    <xf numFmtId="0" fontId="2" fillId="18" borderId="12" xfId="0" applyFont="1" applyFill="1" applyBorder="1" applyAlignment="1">
      <alignment/>
    </xf>
    <xf numFmtId="0" fontId="0" fillId="18" borderId="12" xfId="0" applyFill="1" applyBorder="1" applyAlignment="1">
      <alignment/>
    </xf>
    <xf numFmtId="172" fontId="2" fillId="40" borderId="16" xfId="78" applyFont="1" applyFill="1" applyBorder="1" applyAlignment="1">
      <alignment/>
    </xf>
    <xf numFmtId="172" fontId="2" fillId="40" borderId="17" xfId="78" applyFont="1" applyFill="1" applyBorder="1" applyAlignment="1">
      <alignment/>
    </xf>
    <xf numFmtId="172" fontId="2" fillId="40" borderId="18" xfId="78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36" borderId="12" xfId="0" applyFont="1" applyFill="1" applyBorder="1" applyAlignment="1">
      <alignment horizontal="right"/>
    </xf>
    <xf numFmtId="0" fontId="6" fillId="36" borderId="12" xfId="0" applyFont="1" applyFill="1" applyBorder="1" applyAlignment="1">
      <alignment wrapText="1"/>
    </xf>
    <xf numFmtId="4" fontId="6" fillId="36" borderId="12" xfId="79" applyNumberFormat="1" applyFont="1" applyFill="1" applyBorder="1" applyAlignment="1">
      <alignment horizontal="center" shrinkToFit="1"/>
    </xf>
    <xf numFmtId="4" fontId="6" fillId="36" borderId="12" xfId="0" applyNumberFormat="1" applyFont="1" applyFill="1" applyBorder="1" applyAlignment="1">
      <alignment horizontal="right"/>
    </xf>
    <xf numFmtId="0" fontId="6" fillId="36" borderId="12" xfId="0" applyFont="1" applyFill="1" applyBorder="1" applyAlignment="1">
      <alignment/>
    </xf>
    <xf numFmtId="2" fontId="6" fillId="36" borderId="12" xfId="0" applyNumberFormat="1" applyFont="1" applyFill="1" applyBorder="1" applyAlignment="1">
      <alignment horizontal="right"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wrapText="1"/>
    </xf>
    <xf numFmtId="0" fontId="6" fillId="36" borderId="12" xfId="0" applyFont="1" applyFill="1" applyBorder="1" applyAlignment="1">
      <alignment horizontal="left"/>
    </xf>
    <xf numFmtId="0" fontId="7" fillId="36" borderId="19" xfId="0" applyFont="1" applyFill="1" applyBorder="1" applyAlignment="1">
      <alignment horizontal="left" wrapText="1"/>
    </xf>
    <xf numFmtId="0" fontId="7" fillId="36" borderId="20" xfId="0" applyFont="1" applyFill="1" applyBorder="1" applyAlignment="1">
      <alignment horizontal="left" wrapText="1"/>
    </xf>
    <xf numFmtId="0" fontId="6" fillId="36" borderId="19" xfId="0" applyFont="1" applyFill="1" applyBorder="1" applyAlignment="1">
      <alignment wrapText="1"/>
    </xf>
    <xf numFmtId="0" fontId="87" fillId="41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87" fillId="41" borderId="29" xfId="0" applyFont="1" applyFill="1" applyBorder="1" applyAlignment="1">
      <alignment/>
    </xf>
    <xf numFmtId="4" fontId="2" fillId="36" borderId="12" xfId="79" applyNumberFormat="1" applyFont="1" applyFill="1" applyBorder="1" applyAlignment="1">
      <alignment horizontal="center" vertical="center" shrinkToFit="1"/>
    </xf>
    <xf numFmtId="4" fontId="2" fillId="36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vertical="center"/>
    </xf>
    <xf numFmtId="172" fontId="52" fillId="36" borderId="0" xfId="78" applyFont="1" applyFill="1" applyAlignment="1">
      <alignment/>
    </xf>
    <xf numFmtId="0" fontId="12" fillId="36" borderId="0" xfId="0" applyFont="1" applyFill="1" applyAlignment="1">
      <alignment/>
    </xf>
    <xf numFmtId="172" fontId="12" fillId="36" borderId="0" xfId="78" applyFont="1" applyFill="1" applyAlignment="1">
      <alignment/>
    </xf>
    <xf numFmtId="0" fontId="87" fillId="36" borderId="0" xfId="0" applyFont="1" applyFill="1" applyBorder="1" applyAlignment="1">
      <alignment/>
    </xf>
    <xf numFmtId="0" fontId="7" fillId="36" borderId="12" xfId="0" applyFont="1" applyFill="1" applyBorder="1" applyAlignment="1">
      <alignment wrapText="1"/>
    </xf>
    <xf numFmtId="0" fontId="21" fillId="36" borderId="12" xfId="0" applyFont="1" applyFill="1" applyBorder="1" applyAlignment="1">
      <alignment horizontal="right" vertical="center"/>
    </xf>
    <xf numFmtId="0" fontId="21" fillId="36" borderId="12" xfId="0" applyFont="1" applyFill="1" applyBorder="1" applyAlignment="1">
      <alignment wrapText="1"/>
    </xf>
    <xf numFmtId="4" fontId="21" fillId="36" borderId="12" xfId="79" applyNumberFormat="1" applyFont="1" applyFill="1" applyBorder="1" applyAlignment="1">
      <alignment horizontal="center" vertical="center" shrinkToFit="1"/>
    </xf>
    <xf numFmtId="4" fontId="21" fillId="36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4" fontId="6" fillId="42" borderId="12" xfId="0" applyNumberFormat="1" applyFont="1" applyFill="1" applyBorder="1" applyAlignment="1">
      <alignment horizontal="right"/>
    </xf>
    <xf numFmtId="4" fontId="21" fillId="43" borderId="12" xfId="0" applyNumberFormat="1" applyFont="1" applyFill="1" applyBorder="1" applyAlignment="1">
      <alignment vertical="center"/>
    </xf>
    <xf numFmtId="4" fontId="6" fillId="42" borderId="12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24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2" fontId="24" fillId="36" borderId="0" xfId="0" applyNumberFormat="1" applyFont="1" applyFill="1" applyBorder="1" applyAlignment="1">
      <alignment horizontal="right"/>
    </xf>
    <xf numFmtId="2" fontId="8" fillId="35" borderId="12" xfId="36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right"/>
    </xf>
    <xf numFmtId="4" fontId="6" fillId="0" borderId="12" xfId="79" applyNumberFormat="1" applyFont="1" applyBorder="1" applyAlignment="1">
      <alignment horizontal="center" shrinkToFit="1"/>
    </xf>
    <xf numFmtId="4" fontId="6" fillId="41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2" fontId="6" fillId="0" borderId="12" xfId="0" applyNumberFormat="1" applyFont="1" applyFill="1" applyBorder="1" applyAlignment="1">
      <alignment/>
    </xf>
    <xf numFmtId="2" fontId="6" fillId="36" borderId="12" xfId="0" applyNumberFormat="1" applyFont="1" applyFill="1" applyBorder="1" applyAlignment="1">
      <alignment/>
    </xf>
    <xf numFmtId="172" fontId="12" fillId="0" borderId="0" xfId="78" applyFont="1" applyFill="1">
      <alignment/>
    </xf>
    <xf numFmtId="0" fontId="1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6" fillId="0" borderId="12" xfId="0" applyNumberFormat="1" applyFont="1" applyFill="1" applyBorder="1" applyAlignment="1">
      <alignment horizontal="center" shrinkToFit="1"/>
    </xf>
    <xf numFmtId="4" fontId="6" fillId="36" borderId="12" xfId="0" applyNumberFormat="1" applyFont="1" applyFill="1" applyBorder="1" applyAlignment="1">
      <alignment wrapText="1"/>
    </xf>
    <xf numFmtId="4" fontId="6" fillId="36" borderId="12" xfId="0" applyNumberFormat="1" applyFont="1" applyFill="1" applyBorder="1" applyAlignment="1">
      <alignment horizontal="center"/>
    </xf>
    <xf numFmtId="2" fontId="20" fillId="37" borderId="12" xfId="36" applyNumberFormat="1" applyFont="1" applyFill="1" applyBorder="1" applyAlignment="1">
      <alignment/>
    </xf>
    <xf numFmtId="4" fontId="6" fillId="36" borderId="12" xfId="0" applyNumberFormat="1" applyFont="1" applyFill="1" applyBorder="1" applyAlignment="1">
      <alignment shrinkToFit="1"/>
    </xf>
    <xf numFmtId="2" fontId="86" fillId="38" borderId="12" xfId="0" applyNumberFormat="1" applyFont="1" applyFill="1" applyBorder="1" applyAlignment="1">
      <alignment/>
    </xf>
    <xf numFmtId="2" fontId="85" fillId="39" borderId="14" xfId="0" applyNumberFormat="1" applyFont="1" applyFill="1" applyBorder="1" applyAlignment="1">
      <alignment/>
    </xf>
    <xf numFmtId="2" fontId="85" fillId="39" borderId="30" xfId="0" applyNumberFormat="1" applyFont="1" applyFill="1" applyBorder="1" applyAlignment="1">
      <alignment/>
    </xf>
    <xf numFmtId="2" fontId="85" fillId="34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2" fontId="2" fillId="0" borderId="0" xfId="78" applyNumberFormat="1" applyFont="1" applyFill="1" applyAlignment="1">
      <alignment/>
    </xf>
    <xf numFmtId="172" fontId="88" fillId="0" borderId="0" xfId="78" applyFont="1" applyFill="1" applyAlignment="1">
      <alignment/>
    </xf>
    <xf numFmtId="0" fontId="7" fillId="36" borderId="1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4" fontId="18" fillId="0" borderId="19" xfId="0" applyNumberFormat="1" applyFont="1" applyFill="1" applyBorder="1" applyAlignment="1" applyProtection="1">
      <alignment horizontal="center"/>
      <protection/>
    </xf>
    <xf numFmtId="4" fontId="18" fillId="0" borderId="20" xfId="0" applyNumberFormat="1" applyFont="1" applyFill="1" applyBorder="1" applyAlignment="1" applyProtection="1">
      <alignment horizontal="center"/>
      <protection/>
    </xf>
    <xf numFmtId="4" fontId="18" fillId="0" borderId="31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left" vertical="center" wrapText="1"/>
    </xf>
    <xf numFmtId="0" fontId="17" fillId="0" borderId="0" xfId="74" applyFont="1" applyAlignment="1">
      <alignment horizontal="center" wrapText="1"/>
    </xf>
    <xf numFmtId="0" fontId="7" fillId="36" borderId="0" xfId="69" applyFont="1" applyFill="1" applyBorder="1" applyAlignment="1">
      <alignment horizontal="center"/>
    </xf>
    <xf numFmtId="0" fontId="18" fillId="36" borderId="19" xfId="0" applyFont="1" applyFill="1" applyBorder="1" applyAlignment="1">
      <alignment horizontal="center"/>
    </xf>
    <xf numFmtId="0" fontId="18" fillId="36" borderId="20" xfId="0" applyFont="1" applyFill="1" applyBorder="1" applyAlignment="1">
      <alignment horizontal="center"/>
    </xf>
    <xf numFmtId="0" fontId="18" fillId="36" borderId="31" xfId="0" applyFont="1" applyFill="1" applyBorder="1" applyAlignment="1">
      <alignment horizontal="center"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f1" xfId="33"/>
    <cellStyle name="ConditionalStyle_1" xfId="34"/>
    <cellStyle name="Excel Built-in Heading 2" xfId="35"/>
    <cellStyle name="Excel Built-in Normal" xfId="36"/>
    <cellStyle name="Excel Built-in Normal 1" xfId="37"/>
    <cellStyle name="Excel Built-in Title" xfId="38"/>
    <cellStyle name="Excel_BuiltIn_Заголовок 2" xfId="39"/>
    <cellStyle name="Graphics" xfId="40"/>
    <cellStyle name="Heading" xfId="41"/>
    <cellStyle name="Heading1" xfId="42"/>
    <cellStyle name="Normal 2" xfId="43"/>
    <cellStyle name="Percent 2" xfId="44"/>
    <cellStyle name="Result" xfId="45"/>
    <cellStyle name="Result2" xfId="46"/>
    <cellStyle name="S10" xfId="47"/>
    <cellStyle name="S11" xfId="48"/>
    <cellStyle name="S6" xfId="49"/>
    <cellStyle name="S6 2" xfId="50"/>
    <cellStyle name="S7" xfId="51"/>
    <cellStyle name="S7 2" xfId="52"/>
    <cellStyle name="S9" xfId="53"/>
    <cellStyle name="Standard 2" xfId="54"/>
    <cellStyle name="Standard_Ers_Preise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10" xfId="76"/>
    <cellStyle name="Обычный 11" xfId="77"/>
    <cellStyle name="Обычный 2" xfId="78"/>
    <cellStyle name="Обычный 2 2" xfId="79"/>
    <cellStyle name="Обычный 2 2 2" xfId="80"/>
    <cellStyle name="Обычный 2 3" xfId="81"/>
    <cellStyle name="Обычный 2 4" xfId="82"/>
    <cellStyle name="Обычный 3" xfId="83"/>
    <cellStyle name="Обычный 3 2" xfId="84"/>
    <cellStyle name="Обычный 3 2 2" xfId="85"/>
    <cellStyle name="Обычный 4" xfId="86"/>
    <cellStyle name="Обычный 4 2" xfId="87"/>
    <cellStyle name="Обычный 5" xfId="88"/>
    <cellStyle name="Обычный 5 2" xfId="89"/>
    <cellStyle name="Обычный 6" xfId="90"/>
    <cellStyle name="Обычный 7" xfId="91"/>
    <cellStyle name="Обычный 8" xfId="92"/>
    <cellStyle name="Обычный 9" xfId="93"/>
    <cellStyle name="Плохой" xfId="94"/>
    <cellStyle name="Пояснение" xfId="95"/>
    <cellStyle name="Примечание" xfId="96"/>
    <cellStyle name="Percent" xfId="97"/>
    <cellStyle name="Процентный 2" xfId="98"/>
    <cellStyle name="Связанная ячейка" xfId="99"/>
    <cellStyle name="Стиль 1" xfId="100"/>
    <cellStyle name="Стиль 1 2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abSelected="1" zoomScale="80" zoomScaleNormal="80" zoomScaleSheetLayoutView="90" zoomScalePageLayoutView="0" workbookViewId="0" topLeftCell="A4">
      <selection activeCell="F21" sqref="F21"/>
    </sheetView>
  </sheetViews>
  <sheetFormatPr defaultColWidth="3.875" defaultRowHeight="14.25"/>
  <cols>
    <col min="1" max="1" width="3.25390625" style="2" customWidth="1"/>
    <col min="2" max="2" width="46.00390625" style="2" customWidth="1"/>
    <col min="3" max="3" width="5.875" style="2" customWidth="1"/>
    <col min="4" max="4" width="8.375" style="5" customWidth="1"/>
    <col min="5" max="5" width="9.75390625" style="5" customWidth="1"/>
    <col min="6" max="6" width="12.625" style="5" customWidth="1"/>
    <col min="7" max="7" width="49.50390625" style="2" customWidth="1"/>
    <col min="8" max="8" width="7.625" style="2" customWidth="1"/>
    <col min="9" max="9" width="8.375" style="136" customWidth="1"/>
    <col min="10" max="10" width="12.75390625" style="136" customWidth="1"/>
    <col min="11" max="11" width="14.50390625" style="136" customWidth="1"/>
    <col min="12" max="12" width="12.00390625" style="1" hidden="1" customWidth="1"/>
    <col min="13" max="16" width="8.50390625" style="1" hidden="1" customWidth="1"/>
    <col min="17" max="251" width="8.50390625" style="1" customWidth="1"/>
    <col min="252" max="16384" width="3.875" style="1" customWidth="1"/>
  </cols>
  <sheetData>
    <row r="1" spans="1:12" s="19" customFormat="1" ht="21" customHeight="1">
      <c r="A1" s="7"/>
      <c r="B1" s="144" t="s">
        <v>40</v>
      </c>
      <c r="C1" s="144"/>
      <c r="D1" s="144"/>
      <c r="E1" s="144"/>
      <c r="F1" s="144"/>
      <c r="G1" s="144"/>
      <c r="H1" s="144"/>
      <c r="I1" s="144"/>
      <c r="J1" s="144"/>
      <c r="K1" s="144"/>
      <c r="L1" s="20"/>
    </row>
    <row r="2" spans="1:12" s="19" customFormat="1" ht="16.5" customHeight="1">
      <c r="A2" s="13"/>
      <c r="B2" s="145" t="s">
        <v>71</v>
      </c>
      <c r="C2" s="145"/>
      <c r="D2" s="145"/>
      <c r="E2" s="145"/>
      <c r="F2" s="145"/>
      <c r="G2" s="145"/>
      <c r="H2" s="145"/>
      <c r="I2" s="145"/>
      <c r="J2" s="145"/>
      <c r="K2" s="145"/>
      <c r="L2" s="20"/>
    </row>
    <row r="3" spans="1:12" s="19" customFormat="1" ht="15.75" customHeight="1">
      <c r="A3" s="7"/>
      <c r="B3" s="3" t="s">
        <v>20</v>
      </c>
      <c r="C3" s="3"/>
      <c r="D3" s="4"/>
      <c r="E3" s="4"/>
      <c r="F3" s="4"/>
      <c r="G3" s="109"/>
      <c r="H3" s="110"/>
      <c r="I3" s="111"/>
      <c r="J3" s="111"/>
      <c r="K3" s="112" t="s">
        <v>67</v>
      </c>
      <c r="L3" s="20"/>
    </row>
    <row r="4" spans="1:12" ht="45.75">
      <c r="A4" s="15" t="s">
        <v>0</v>
      </c>
      <c r="B4" s="16" t="s">
        <v>3</v>
      </c>
      <c r="C4" s="15" t="s">
        <v>4</v>
      </c>
      <c r="D4" s="17" t="s">
        <v>5</v>
      </c>
      <c r="E4" s="17" t="s">
        <v>6</v>
      </c>
      <c r="F4" s="17" t="s">
        <v>7</v>
      </c>
      <c r="G4" s="15" t="s">
        <v>61</v>
      </c>
      <c r="H4" s="15" t="s">
        <v>4</v>
      </c>
      <c r="I4" s="113" t="s">
        <v>5</v>
      </c>
      <c r="J4" s="113" t="s">
        <v>6</v>
      </c>
      <c r="K4" s="113" t="s">
        <v>7</v>
      </c>
      <c r="L4" s="14">
        <f>K21</f>
        <v>3397.5</v>
      </c>
    </row>
    <row r="5" spans="1:15" s="25" customFormat="1" ht="15" customHeight="1">
      <c r="A5" s="146" t="s">
        <v>21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21"/>
      <c r="M5" s="22"/>
      <c r="N5" s="23"/>
      <c r="O5" s="24"/>
    </row>
    <row r="6" spans="1:15" s="124" customFormat="1" ht="18" customHeight="1">
      <c r="A6" s="114">
        <v>2</v>
      </c>
      <c r="B6" s="64" t="s">
        <v>73</v>
      </c>
      <c r="C6" s="115" t="s">
        <v>1</v>
      </c>
      <c r="D6" s="39">
        <v>3.4</v>
      </c>
      <c r="E6" s="39"/>
      <c r="F6" s="40">
        <f>D6*E6</f>
        <v>0</v>
      </c>
      <c r="G6" s="70" t="s">
        <v>74</v>
      </c>
      <c r="H6" s="69" t="s">
        <v>2</v>
      </c>
      <c r="I6" s="63">
        <v>0</v>
      </c>
      <c r="J6" s="63">
        <v>4.04</v>
      </c>
      <c r="K6" s="68">
        <f>I6*J6</f>
        <v>0</v>
      </c>
      <c r="L6" s="120"/>
      <c r="M6" s="121"/>
      <c r="N6" s="122"/>
      <c r="O6" s="123"/>
    </row>
    <row r="7" spans="1:15" s="124" customFormat="1" ht="18" customHeight="1">
      <c r="A7" s="114"/>
      <c r="B7" s="64"/>
      <c r="C7" s="115"/>
      <c r="D7" s="39"/>
      <c r="E7" s="39"/>
      <c r="F7" s="40"/>
      <c r="G7" s="70" t="s">
        <v>72</v>
      </c>
      <c r="H7" s="69" t="s">
        <v>62</v>
      </c>
      <c r="I7" s="63">
        <v>2</v>
      </c>
      <c r="J7" s="63">
        <v>60</v>
      </c>
      <c r="K7" s="68">
        <f>I7*J7</f>
        <v>120</v>
      </c>
      <c r="L7" s="120"/>
      <c r="M7" s="121"/>
      <c r="N7" s="122"/>
      <c r="O7" s="123"/>
    </row>
    <row r="8" spans="1:15" s="124" customFormat="1" ht="18" customHeight="1">
      <c r="A8" s="114">
        <v>3</v>
      </c>
      <c r="B8" s="64" t="s">
        <v>70</v>
      </c>
      <c r="C8" s="115" t="s">
        <v>2</v>
      </c>
      <c r="D8" s="39">
        <v>34</v>
      </c>
      <c r="E8" s="39"/>
      <c r="F8" s="40">
        <f>D8*E8</f>
        <v>0</v>
      </c>
      <c r="G8" s="117" t="s">
        <v>69</v>
      </c>
      <c r="H8" s="125" t="s">
        <v>62</v>
      </c>
      <c r="I8" s="118">
        <v>10</v>
      </c>
      <c r="J8" s="119">
        <v>60</v>
      </c>
      <c r="K8" s="118">
        <f>I8*J8</f>
        <v>600</v>
      </c>
      <c r="L8" s="120"/>
      <c r="M8" s="121"/>
      <c r="N8" s="122"/>
      <c r="O8" s="123"/>
    </row>
    <row r="9" spans="1:15" s="124" customFormat="1" ht="18" customHeight="1">
      <c r="A9" s="67">
        <v>5</v>
      </c>
      <c r="B9" s="64" t="s">
        <v>75</v>
      </c>
      <c r="C9" s="65" t="s">
        <v>1</v>
      </c>
      <c r="D9" s="39">
        <f>11.8</f>
        <v>11.8</v>
      </c>
      <c r="E9" s="39"/>
      <c r="F9" s="68">
        <f>D9*E9</f>
        <v>0</v>
      </c>
      <c r="G9" s="70" t="s">
        <v>76</v>
      </c>
      <c r="H9" s="69" t="s">
        <v>2</v>
      </c>
      <c r="I9" s="68">
        <v>1</v>
      </c>
      <c r="J9" s="68">
        <v>540</v>
      </c>
      <c r="K9" s="118">
        <f>I9*J9</f>
        <v>540</v>
      </c>
      <c r="L9" s="120"/>
      <c r="M9" s="121"/>
      <c r="N9" s="122"/>
      <c r="O9" s="123"/>
    </row>
    <row r="10" spans="1:15" s="124" customFormat="1" ht="18" customHeight="1">
      <c r="A10" s="67">
        <v>6</v>
      </c>
      <c r="B10" s="64" t="s">
        <v>78</v>
      </c>
      <c r="C10" s="65" t="s">
        <v>63</v>
      </c>
      <c r="D10" s="39">
        <v>30</v>
      </c>
      <c r="E10" s="39"/>
      <c r="F10" s="68">
        <f>D10*E10</f>
        <v>0</v>
      </c>
      <c r="G10" s="70" t="s">
        <v>77</v>
      </c>
      <c r="H10" s="69" t="s">
        <v>2</v>
      </c>
      <c r="I10" s="68">
        <v>10</v>
      </c>
      <c r="J10" s="68">
        <v>102.5</v>
      </c>
      <c r="K10" s="118">
        <f>I10*J10</f>
        <v>1025</v>
      </c>
      <c r="L10" s="120"/>
      <c r="M10" s="121"/>
      <c r="N10" s="122"/>
      <c r="O10" s="123"/>
    </row>
    <row r="11" spans="1:19" ht="15.75">
      <c r="A11" s="57"/>
      <c r="B11" s="41" t="s">
        <v>8</v>
      </c>
      <c r="C11" s="41"/>
      <c r="D11" s="41"/>
      <c r="E11" s="41"/>
      <c r="F11" s="41">
        <f>SUM(F6:F10)</f>
        <v>0</v>
      </c>
      <c r="G11" s="41" t="s">
        <v>64</v>
      </c>
      <c r="H11" s="41"/>
      <c r="I11" s="128"/>
      <c r="J11" s="128"/>
      <c r="K11" s="128">
        <f>SUM(K6:K10)</f>
        <v>2285</v>
      </c>
      <c r="Q11" s="137"/>
      <c r="R11" s="137"/>
      <c r="S11" s="137"/>
    </row>
    <row r="12" spans="1:19" ht="15.75">
      <c r="A12" s="140" t="s">
        <v>47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2"/>
      <c r="Q12" s="137"/>
      <c r="R12" s="137"/>
      <c r="S12" s="137"/>
    </row>
    <row r="13" spans="1:11" ht="29.25">
      <c r="A13" s="67">
        <v>1</v>
      </c>
      <c r="B13" s="64" t="s">
        <v>17</v>
      </c>
      <c r="C13" s="65" t="s">
        <v>14</v>
      </c>
      <c r="D13" s="39">
        <v>3</v>
      </c>
      <c r="E13" s="39"/>
      <c r="F13" s="39">
        <f>D13*E13</f>
        <v>0</v>
      </c>
      <c r="G13" s="126" t="s">
        <v>65</v>
      </c>
      <c r="H13" s="127" t="s">
        <v>2</v>
      </c>
      <c r="I13" s="119">
        <v>20</v>
      </c>
      <c r="J13" s="119">
        <v>4.5</v>
      </c>
      <c r="K13" s="119">
        <f>I13*J13</f>
        <v>90</v>
      </c>
    </row>
    <row r="14" spans="1:11" ht="15">
      <c r="A14" s="67">
        <v>2</v>
      </c>
      <c r="B14" s="64" t="s">
        <v>68</v>
      </c>
      <c r="C14" s="65" t="s">
        <v>1</v>
      </c>
      <c r="D14" s="39">
        <v>15</v>
      </c>
      <c r="E14" s="116"/>
      <c r="F14" s="39">
        <f>D14*E14</f>
        <v>0</v>
      </c>
      <c r="G14" s="126"/>
      <c r="H14" s="129"/>
      <c r="I14" s="119"/>
      <c r="J14" s="119"/>
      <c r="K14" s="119"/>
    </row>
    <row r="15" spans="1:11" ht="15">
      <c r="A15" s="58"/>
      <c r="B15" s="41" t="s">
        <v>8</v>
      </c>
      <c r="C15" s="41"/>
      <c r="D15" s="41"/>
      <c r="E15" s="41"/>
      <c r="F15" s="41">
        <f>SUM(F13:F14)</f>
        <v>0</v>
      </c>
      <c r="G15" s="41" t="s">
        <v>64</v>
      </c>
      <c r="H15" s="41"/>
      <c r="I15" s="128"/>
      <c r="J15" s="128"/>
      <c r="K15" s="128">
        <f>K13</f>
        <v>90</v>
      </c>
    </row>
    <row r="16" spans="1:11" ht="20.25" customHeight="1">
      <c r="A16" s="58"/>
      <c r="B16" s="44" t="s">
        <v>9</v>
      </c>
      <c r="C16" s="44"/>
      <c r="D16" s="45"/>
      <c r="E16" s="45"/>
      <c r="F16" s="45">
        <f>F11+F15</f>
        <v>0</v>
      </c>
      <c r="G16" s="45" t="s">
        <v>66</v>
      </c>
      <c r="H16" s="45"/>
      <c r="I16" s="130"/>
      <c r="J16" s="130"/>
      <c r="K16" s="130">
        <f>K11+K15</f>
        <v>2375</v>
      </c>
    </row>
    <row r="17" spans="1:11" ht="20.25" customHeight="1">
      <c r="A17" s="58"/>
      <c r="B17" s="44"/>
      <c r="C17" s="44"/>
      <c r="D17" s="45"/>
      <c r="E17" s="45"/>
      <c r="F17" s="45"/>
      <c r="G17" s="45" t="s">
        <v>79</v>
      </c>
      <c r="H17" s="45"/>
      <c r="I17" s="130"/>
      <c r="J17" s="130"/>
      <c r="K17" s="130">
        <f>K16*1.2</f>
        <v>2850</v>
      </c>
    </row>
    <row r="18" spans="1:11" ht="15">
      <c r="A18" s="37"/>
      <c r="B18" s="12" t="s">
        <v>12</v>
      </c>
      <c r="C18" s="43"/>
      <c r="D18" s="42"/>
      <c r="E18" s="42"/>
      <c r="F18" s="40"/>
      <c r="G18" s="126"/>
      <c r="H18" s="39"/>
      <c r="I18" s="119"/>
      <c r="J18" s="119"/>
      <c r="K18" s="119">
        <f>F16+K17</f>
        <v>2850</v>
      </c>
    </row>
    <row r="19" spans="1:11" ht="15">
      <c r="A19" s="37"/>
      <c r="B19" s="12" t="s">
        <v>16</v>
      </c>
      <c r="C19" s="43"/>
      <c r="D19" s="42"/>
      <c r="E19" s="42"/>
      <c r="F19" s="40"/>
      <c r="G19" s="126"/>
      <c r="H19" s="39"/>
      <c r="I19" s="119"/>
      <c r="J19" s="119"/>
      <c r="K19" s="119">
        <v>500</v>
      </c>
    </row>
    <row r="20" spans="1:11" ht="15.75">
      <c r="A20" s="38"/>
      <c r="B20" s="12" t="s">
        <v>13</v>
      </c>
      <c r="C20" s="43"/>
      <c r="D20" s="42"/>
      <c r="E20" s="42"/>
      <c r="F20" s="40"/>
      <c r="G20" s="126"/>
      <c r="H20" s="39"/>
      <c r="I20" s="119"/>
      <c r="J20" s="119"/>
      <c r="K20" s="119">
        <f>K16*0.02</f>
        <v>47.5</v>
      </c>
    </row>
    <row r="21" spans="1:11" ht="16.5">
      <c r="A21" s="59"/>
      <c r="B21" s="52" t="s">
        <v>11</v>
      </c>
      <c r="C21" s="52"/>
      <c r="D21" s="53"/>
      <c r="E21" s="53"/>
      <c r="F21" s="53"/>
      <c r="G21" s="53"/>
      <c r="H21" s="53"/>
      <c r="I21" s="131"/>
      <c r="J21" s="131"/>
      <c r="K21" s="132">
        <f>K18+K19+K20</f>
        <v>3397.5</v>
      </c>
    </row>
    <row r="22" spans="2:11" ht="15.75" customHeight="1">
      <c r="B22" s="9"/>
      <c r="C22" s="9"/>
      <c r="D22" s="10"/>
      <c r="E22" s="10"/>
      <c r="F22" s="10"/>
      <c r="G22" s="10"/>
      <c r="H22" s="10"/>
      <c r="I22" s="133"/>
      <c r="J22" s="133"/>
      <c r="K22" s="133"/>
    </row>
    <row r="23" spans="2:11" ht="15.75" customHeight="1">
      <c r="B23" s="134" t="s">
        <v>80</v>
      </c>
      <c r="C23" s="135"/>
      <c r="D23" s="135"/>
      <c r="E23" s="135"/>
      <c r="F23" s="135"/>
      <c r="G23" s="135"/>
      <c r="H23" s="135"/>
      <c r="I23" s="135"/>
      <c r="J23" s="135"/>
      <c r="K23" s="135"/>
    </row>
    <row r="24" spans="2:11" ht="15.75" customHeight="1">
      <c r="B24" s="143" t="s">
        <v>81</v>
      </c>
      <c r="C24" s="143"/>
      <c r="D24" s="143"/>
      <c r="E24" s="143"/>
      <c r="F24" s="143"/>
      <c r="G24" s="143"/>
      <c r="H24" s="143"/>
      <c r="I24" s="143"/>
      <c r="J24" s="143"/>
      <c r="K24" s="143"/>
    </row>
    <row r="25" spans="2:11" ht="18.75" customHeight="1"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36" spans="4:20" s="2" customFormat="1" ht="15">
      <c r="D36" s="5"/>
      <c r="E36" s="5"/>
      <c r="F36" s="5"/>
      <c r="I36" s="136"/>
      <c r="J36" s="136"/>
      <c r="K36" s="136"/>
      <c r="L36" s="1"/>
      <c r="M36" s="1"/>
      <c r="N36" s="1"/>
      <c r="O36" s="1"/>
      <c r="P36" s="1"/>
      <c r="Q36" s="1"/>
      <c r="R36" s="1"/>
      <c r="S36" s="1"/>
      <c r="T36" s="1"/>
    </row>
  </sheetData>
  <sheetProtection/>
  <autoFilter ref="A4:K21"/>
  <mergeCells count="5">
    <mergeCell ref="B1:K1"/>
    <mergeCell ref="B2:K2"/>
    <mergeCell ref="A5:K5"/>
    <mergeCell ref="A12:K12"/>
    <mergeCell ref="B24:K25"/>
  </mergeCells>
  <printOptions horizontalCentered="1"/>
  <pageMargins left="0.31496062992125984" right="0.31496062992125984" top="0.4724409448818898" bottom="0.3937007874015748" header="0.5511811023622047" footer="0.1968503937007874"/>
  <pageSetup fitToHeight="0" fitToWidth="1" horizontalDpi="600" verticalDpi="600" orientation="landscape" paperSize="9" scale="72" r:id="rId1"/>
  <headerFooter alignWithMargins="0"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7"/>
  <sheetViews>
    <sheetView showGridLines="0" zoomScale="90" zoomScaleNormal="90" zoomScaleSheetLayoutView="90" zoomScalePageLayoutView="0" workbookViewId="0" topLeftCell="A34">
      <selection activeCell="F28" sqref="F28:F30"/>
    </sheetView>
  </sheetViews>
  <sheetFormatPr defaultColWidth="3.875" defaultRowHeight="14.25"/>
  <cols>
    <col min="1" max="1" width="3.25390625" style="2" customWidth="1"/>
    <col min="2" max="2" width="46.00390625" style="2" customWidth="1"/>
    <col min="3" max="3" width="5.875" style="2" customWidth="1"/>
    <col min="4" max="4" width="8.75390625" style="5" customWidth="1"/>
    <col min="5" max="5" width="9.75390625" style="5" customWidth="1"/>
    <col min="6" max="6" width="12.625" style="5" customWidth="1"/>
    <col min="7" max="7" width="12.00390625" style="1" hidden="1" customWidth="1"/>
    <col min="8" max="11" width="8.50390625" style="1" hidden="1" customWidth="1"/>
    <col min="12" max="246" width="8.50390625" style="1" customWidth="1"/>
    <col min="247" max="16384" width="3.875" style="1" customWidth="1"/>
  </cols>
  <sheetData>
    <row r="1" spans="1:7" s="19" customFormat="1" ht="21" customHeight="1">
      <c r="A1" s="7"/>
      <c r="B1" s="144" t="s">
        <v>40</v>
      </c>
      <c r="C1" s="144"/>
      <c r="D1" s="144"/>
      <c r="E1" s="144"/>
      <c r="F1" s="144"/>
      <c r="G1" s="20"/>
    </row>
    <row r="2" spans="1:7" s="19" customFormat="1" ht="16.5" customHeight="1">
      <c r="A2" s="13"/>
      <c r="B2" s="145" t="s">
        <v>60</v>
      </c>
      <c r="C2" s="145"/>
      <c r="D2" s="145"/>
      <c r="E2" s="145"/>
      <c r="F2" s="145"/>
      <c r="G2" s="20"/>
    </row>
    <row r="3" spans="1:7" s="19" customFormat="1" ht="15.75" customHeight="1">
      <c r="A3" s="7"/>
      <c r="B3" s="3" t="s">
        <v>20</v>
      </c>
      <c r="C3" s="3"/>
      <c r="D3" s="4"/>
      <c r="E3" s="4"/>
      <c r="F3" s="4"/>
      <c r="G3" s="20"/>
    </row>
    <row r="4" spans="1:7" ht="45">
      <c r="A4" s="15" t="s">
        <v>0</v>
      </c>
      <c r="B4" s="16" t="s">
        <v>3</v>
      </c>
      <c r="C4" s="15" t="s">
        <v>4</v>
      </c>
      <c r="D4" s="17" t="s">
        <v>5</v>
      </c>
      <c r="E4" s="17" t="s">
        <v>6</v>
      </c>
      <c r="F4" s="17" t="s">
        <v>7</v>
      </c>
      <c r="G4" s="14" t="e">
        <f>#REF!</f>
        <v>#REF!</v>
      </c>
    </row>
    <row r="5" spans="1:10" s="25" customFormat="1" ht="15" customHeight="1">
      <c r="A5" s="146" t="s">
        <v>21</v>
      </c>
      <c r="B5" s="147"/>
      <c r="C5" s="147"/>
      <c r="D5" s="147"/>
      <c r="E5" s="147"/>
      <c r="F5" s="147"/>
      <c r="G5" s="21"/>
      <c r="H5" s="22"/>
      <c r="I5" s="23"/>
      <c r="J5" s="24"/>
    </row>
    <row r="6" spans="1:10" s="25" customFormat="1" ht="21.75" customHeight="1">
      <c r="A6" s="63">
        <v>1</v>
      </c>
      <c r="B6" s="64" t="s">
        <v>33</v>
      </c>
      <c r="C6" s="65" t="s">
        <v>1</v>
      </c>
      <c r="D6" s="66">
        <f>Лист1!D5</f>
        <v>141.82500000000002</v>
      </c>
      <c r="E6" s="105">
        <v>110</v>
      </c>
      <c r="F6" s="66">
        <f>D6*E6</f>
        <v>15600.750000000002</v>
      </c>
      <c r="G6" s="21"/>
      <c r="H6" s="22"/>
      <c r="I6" s="23"/>
      <c r="J6" s="24"/>
    </row>
    <row r="7" spans="1:10" s="25" customFormat="1" ht="21.75" customHeight="1">
      <c r="A7" s="63">
        <v>2</v>
      </c>
      <c r="B7" s="64" t="s">
        <v>49</v>
      </c>
      <c r="C7" s="65" t="s">
        <v>1</v>
      </c>
      <c r="D7" s="106">
        <f>Лист1!D10</f>
        <v>261.3</v>
      </c>
      <c r="E7" s="105">
        <v>85</v>
      </c>
      <c r="F7" s="66">
        <f aca="true" t="shared" si="0" ref="F7:F13">D7*E7</f>
        <v>22210.5</v>
      </c>
      <c r="G7" s="21"/>
      <c r="H7" s="22"/>
      <c r="I7" s="23"/>
      <c r="J7" s="24"/>
    </row>
    <row r="8" spans="1:6" s="8" customFormat="1" ht="15">
      <c r="A8" s="95">
        <v>3</v>
      </c>
      <c r="B8" s="94" t="s">
        <v>51</v>
      </c>
      <c r="C8" s="92" t="s">
        <v>2</v>
      </c>
      <c r="D8" s="93">
        <v>3</v>
      </c>
      <c r="E8" s="105">
        <v>150</v>
      </c>
      <c r="F8" s="66">
        <f t="shared" si="0"/>
        <v>450</v>
      </c>
    </row>
    <row r="9" spans="1:10" s="25" customFormat="1" ht="15">
      <c r="A9" s="67">
        <v>3</v>
      </c>
      <c r="B9" s="64" t="s">
        <v>34</v>
      </c>
      <c r="C9" s="65" t="s">
        <v>1</v>
      </c>
      <c r="D9" s="39">
        <f>D6*2+D7</f>
        <v>544.95</v>
      </c>
      <c r="E9" s="105">
        <v>10</v>
      </c>
      <c r="F9" s="66">
        <f t="shared" si="0"/>
        <v>5449.5</v>
      </c>
      <c r="G9" s="21"/>
      <c r="H9" s="22"/>
      <c r="I9" s="23"/>
      <c r="J9" s="24"/>
    </row>
    <row r="10" spans="1:7" s="18" customFormat="1" ht="17.25" customHeight="1">
      <c r="A10" s="67">
        <v>4</v>
      </c>
      <c r="B10" s="64" t="s">
        <v>35</v>
      </c>
      <c r="C10" s="65" t="s">
        <v>1</v>
      </c>
      <c r="D10" s="39">
        <f>D9</f>
        <v>544.95</v>
      </c>
      <c r="E10" s="105">
        <v>5</v>
      </c>
      <c r="F10" s="66">
        <f t="shared" si="0"/>
        <v>2724.75</v>
      </c>
      <c r="G10" s="31"/>
    </row>
    <row r="11" spans="1:7" s="18" customFormat="1" ht="18" customHeight="1">
      <c r="A11" s="67">
        <v>5</v>
      </c>
      <c r="B11" s="64" t="s">
        <v>36</v>
      </c>
      <c r="C11" s="65" t="s">
        <v>1</v>
      </c>
      <c r="D11" s="39">
        <f>D10</f>
        <v>544.95</v>
      </c>
      <c r="E11" s="105">
        <v>50</v>
      </c>
      <c r="F11" s="66">
        <f t="shared" si="0"/>
        <v>27247.500000000004</v>
      </c>
      <c r="G11" s="31"/>
    </row>
    <row r="12" spans="1:7" s="18" customFormat="1" ht="16.5" customHeight="1">
      <c r="A12" s="67">
        <v>6</v>
      </c>
      <c r="B12" s="64" t="s">
        <v>37</v>
      </c>
      <c r="C12" s="65" t="s">
        <v>2</v>
      </c>
      <c r="D12" s="39">
        <v>3</v>
      </c>
      <c r="E12" s="105">
        <v>250</v>
      </c>
      <c r="F12" s="66">
        <f t="shared" si="0"/>
        <v>750</v>
      </c>
      <c r="G12" s="31"/>
    </row>
    <row r="13" spans="1:7" s="18" customFormat="1" ht="16.5" customHeight="1">
      <c r="A13" s="67">
        <v>7</v>
      </c>
      <c r="B13" s="64" t="s">
        <v>50</v>
      </c>
      <c r="C13" s="65" t="s">
        <v>2</v>
      </c>
      <c r="D13" s="39">
        <v>1</v>
      </c>
      <c r="E13" s="105">
        <v>370</v>
      </c>
      <c r="F13" s="66">
        <f t="shared" si="0"/>
        <v>370</v>
      </c>
      <c r="G13" s="31"/>
    </row>
    <row r="14" spans="1:6" ht="15">
      <c r="A14" s="57"/>
      <c r="B14" s="41" t="s">
        <v>8</v>
      </c>
      <c r="C14" s="41"/>
      <c r="D14" s="41"/>
      <c r="E14" s="41"/>
      <c r="F14" s="41">
        <f>SUM(F6:F13)</f>
        <v>74803</v>
      </c>
    </row>
    <row r="15" spans="1:7" s="18" customFormat="1" ht="18" customHeight="1">
      <c r="A15" s="138" t="s">
        <v>38</v>
      </c>
      <c r="B15" s="139"/>
      <c r="C15" s="139"/>
      <c r="D15" s="139"/>
      <c r="E15" s="139"/>
      <c r="F15" s="139"/>
      <c r="G15" s="31"/>
    </row>
    <row r="16" spans="1:7" s="18" customFormat="1" ht="18" customHeight="1">
      <c r="A16" s="63">
        <v>1</v>
      </c>
      <c r="B16" s="71" t="s">
        <v>26</v>
      </c>
      <c r="C16" s="69" t="s">
        <v>1</v>
      </c>
      <c r="D16" s="63">
        <f>1.6*3+0.9*2.1+1*2.1+0.7*2.1</f>
        <v>10.260000000000002</v>
      </c>
      <c r="E16" s="105">
        <v>15</v>
      </c>
      <c r="F16" s="63">
        <f>D16*E16</f>
        <v>153.90000000000003</v>
      </c>
      <c r="G16" s="31"/>
    </row>
    <row r="17" spans="1:15" s="24" customFormat="1" ht="18" customHeight="1">
      <c r="A17" s="63">
        <v>2</v>
      </c>
      <c r="B17" s="70" t="s">
        <v>52</v>
      </c>
      <c r="C17" s="69" t="s">
        <v>1</v>
      </c>
      <c r="D17" s="68">
        <v>495</v>
      </c>
      <c r="E17" s="105">
        <v>10</v>
      </c>
      <c r="F17" s="63">
        <f>D17*E17</f>
        <v>4950</v>
      </c>
      <c r="G17" s="32"/>
      <c r="H17" s="22"/>
      <c r="I17" s="6"/>
      <c r="J17" s="33"/>
      <c r="K17" s="33"/>
      <c r="L17" s="33"/>
      <c r="M17" s="33"/>
      <c r="N17" s="33"/>
      <c r="O17" s="33"/>
    </row>
    <row r="18" spans="1:7" s="18" customFormat="1" ht="17.25" customHeight="1">
      <c r="A18" s="67"/>
      <c r="B18" s="72" t="s">
        <v>23</v>
      </c>
      <c r="C18" s="73"/>
      <c r="D18" s="73"/>
      <c r="E18" s="73"/>
      <c r="F18" s="73"/>
      <c r="G18" s="31"/>
    </row>
    <row r="19" spans="1:7" s="18" customFormat="1" ht="18" customHeight="1">
      <c r="A19" s="67">
        <v>3</v>
      </c>
      <c r="B19" s="64" t="s">
        <v>24</v>
      </c>
      <c r="C19" s="65" t="s">
        <v>1</v>
      </c>
      <c r="D19" s="39">
        <f>495*1.3</f>
        <v>643.5</v>
      </c>
      <c r="E19" s="39">
        <v>5</v>
      </c>
      <c r="F19" s="68">
        <f>D19*E19</f>
        <v>3217.5</v>
      </c>
      <c r="G19" s="31"/>
    </row>
    <row r="20" spans="1:64" s="27" customFormat="1" ht="15.75" customHeight="1">
      <c r="A20" s="67">
        <v>4</v>
      </c>
      <c r="B20" s="74" t="s">
        <v>25</v>
      </c>
      <c r="C20" s="65" t="s">
        <v>1</v>
      </c>
      <c r="D20" s="39">
        <f>495*1.3</f>
        <v>643.5</v>
      </c>
      <c r="E20" s="105">
        <v>15</v>
      </c>
      <c r="F20" s="68">
        <f>D20*E20</f>
        <v>9652.5</v>
      </c>
      <c r="G20" s="34"/>
      <c r="H20" s="26"/>
      <c r="I20" s="11"/>
      <c r="J20" s="28"/>
      <c r="K20" s="28"/>
      <c r="L20" s="30"/>
      <c r="M20" s="30"/>
      <c r="N20" s="30"/>
      <c r="O20" s="30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7" s="35" customFormat="1" ht="16.5" customHeight="1">
      <c r="A21" s="67"/>
      <c r="B21" s="72" t="s">
        <v>27</v>
      </c>
      <c r="C21" s="73"/>
      <c r="D21" s="73"/>
      <c r="E21" s="73"/>
      <c r="F21" s="73"/>
      <c r="G21" s="36"/>
    </row>
    <row r="22" spans="1:7" s="35" customFormat="1" ht="16.5" customHeight="1">
      <c r="A22" s="67">
        <v>7</v>
      </c>
      <c r="B22" s="64" t="s">
        <v>29</v>
      </c>
      <c r="C22" s="65" t="s">
        <v>1</v>
      </c>
      <c r="D22" s="39">
        <f>Лист1!D27</f>
        <v>552.955775</v>
      </c>
      <c r="E22" s="105">
        <v>5</v>
      </c>
      <c r="F22" s="68">
        <f>D22*E22</f>
        <v>2764.778875</v>
      </c>
      <c r="G22" s="36"/>
    </row>
    <row r="23" spans="1:7" s="35" customFormat="1" ht="16.5" customHeight="1">
      <c r="A23" s="67">
        <v>8</v>
      </c>
      <c r="B23" s="64" t="s">
        <v>31</v>
      </c>
      <c r="C23" s="65" t="s">
        <v>1</v>
      </c>
      <c r="D23" s="39">
        <f>D22</f>
        <v>552.955775</v>
      </c>
      <c r="E23" s="39">
        <v>5</v>
      </c>
      <c r="F23" s="68">
        <f aca="true" t="shared" si="1" ref="F23:F37">D23*E23</f>
        <v>2764.778875</v>
      </c>
      <c r="G23" s="36"/>
    </row>
    <row r="24" spans="1:7" s="35" customFormat="1" ht="17.25" customHeight="1">
      <c r="A24" s="67">
        <v>9</v>
      </c>
      <c r="B24" s="64" t="s">
        <v>28</v>
      </c>
      <c r="C24" s="65" t="s">
        <v>1</v>
      </c>
      <c r="D24" s="39">
        <f>13.015*4</f>
        <v>52.06</v>
      </c>
      <c r="E24" s="105">
        <v>250</v>
      </c>
      <c r="F24" s="68">
        <f t="shared" si="1"/>
        <v>13015</v>
      </c>
      <c r="G24" s="36"/>
    </row>
    <row r="25" spans="1:7" s="35" customFormat="1" ht="18" customHeight="1">
      <c r="A25" s="67">
        <v>10</v>
      </c>
      <c r="B25" s="64" t="s">
        <v>22</v>
      </c>
      <c r="C25" s="65" t="s">
        <v>1</v>
      </c>
      <c r="D25" s="39">
        <f>D23-D24</f>
        <v>500.895775</v>
      </c>
      <c r="E25" s="105">
        <v>15</v>
      </c>
      <c r="F25" s="68">
        <f t="shared" si="1"/>
        <v>7513.436625</v>
      </c>
      <c r="G25" s="36"/>
    </row>
    <row r="26" spans="1:7" s="35" customFormat="1" ht="17.25" customHeight="1">
      <c r="A26" s="67">
        <v>11</v>
      </c>
      <c r="B26" s="64" t="s">
        <v>30</v>
      </c>
      <c r="C26" s="65" t="s">
        <v>1</v>
      </c>
      <c r="D26" s="39">
        <f>D24</f>
        <v>52.06</v>
      </c>
      <c r="E26" s="105">
        <v>30</v>
      </c>
      <c r="F26" s="68">
        <f t="shared" si="1"/>
        <v>1561.8000000000002</v>
      </c>
      <c r="G26" s="36"/>
    </row>
    <row r="27" spans="1:7" s="35" customFormat="1" ht="17.25" customHeight="1">
      <c r="A27" s="67"/>
      <c r="B27" s="72" t="s">
        <v>32</v>
      </c>
      <c r="C27" s="73"/>
      <c r="D27" s="73"/>
      <c r="E27" s="73"/>
      <c r="F27" s="73"/>
      <c r="G27" s="36"/>
    </row>
    <row r="28" spans="1:7" s="35" customFormat="1" ht="17.25" customHeight="1">
      <c r="A28" s="67">
        <v>12</v>
      </c>
      <c r="B28" s="64" t="s">
        <v>29</v>
      </c>
      <c r="C28" s="65" t="s">
        <v>1</v>
      </c>
      <c r="D28" s="39">
        <f>Лист1!H26</f>
        <v>291.11</v>
      </c>
      <c r="E28" s="105">
        <v>5</v>
      </c>
      <c r="F28" s="68">
        <f t="shared" si="1"/>
        <v>1455.5500000000002</v>
      </c>
      <c r="G28" s="36"/>
    </row>
    <row r="29" spans="1:7" s="35" customFormat="1" ht="17.25" customHeight="1">
      <c r="A29" s="67">
        <v>13</v>
      </c>
      <c r="B29" s="64" t="s">
        <v>31</v>
      </c>
      <c r="C29" s="65" t="s">
        <v>1</v>
      </c>
      <c r="D29" s="39">
        <f>D28</f>
        <v>291.11</v>
      </c>
      <c r="E29" s="39">
        <v>15</v>
      </c>
      <c r="F29" s="68">
        <f t="shared" si="1"/>
        <v>4366.650000000001</v>
      </c>
      <c r="G29" s="36"/>
    </row>
    <row r="30" spans="1:15" s="29" customFormat="1" ht="17.25" customHeight="1">
      <c r="A30" s="67">
        <v>14</v>
      </c>
      <c r="B30" s="64" t="s">
        <v>22</v>
      </c>
      <c r="C30" s="65" t="s">
        <v>1</v>
      </c>
      <c r="D30" s="39">
        <f>D29</f>
        <v>291.11</v>
      </c>
      <c r="E30" s="39">
        <v>6</v>
      </c>
      <c r="F30" s="68">
        <f t="shared" si="1"/>
        <v>1746.66</v>
      </c>
      <c r="G30" s="96"/>
      <c r="H30" s="97"/>
      <c r="I30" s="98"/>
      <c r="J30" s="30"/>
      <c r="K30" s="30"/>
      <c r="L30" s="30"/>
      <c r="M30" s="30"/>
      <c r="N30" s="30"/>
      <c r="O30" s="30"/>
    </row>
    <row r="31" spans="1:7" s="35" customFormat="1" ht="17.25" customHeight="1">
      <c r="A31" s="67"/>
      <c r="B31" s="100" t="s">
        <v>53</v>
      </c>
      <c r="C31" s="65"/>
      <c r="D31" s="39"/>
      <c r="E31" s="39"/>
      <c r="F31" s="68"/>
      <c r="G31" s="36"/>
    </row>
    <row r="32" spans="1:7" s="35" customFormat="1" ht="17.25" customHeight="1">
      <c r="A32" s="101">
        <v>15</v>
      </c>
      <c r="B32" s="102" t="s">
        <v>57</v>
      </c>
      <c r="C32" s="103" t="s">
        <v>1</v>
      </c>
      <c r="D32" s="104">
        <f>2*1.5*2+1.4*1.5*2-0.7*1.5</f>
        <v>9.149999999999999</v>
      </c>
      <c r="E32" s="105">
        <v>140</v>
      </c>
      <c r="F32" s="68">
        <f t="shared" si="1"/>
        <v>1280.9999999999998</v>
      </c>
      <c r="G32" s="36"/>
    </row>
    <row r="33" spans="1:7" s="35" customFormat="1" ht="17.25" customHeight="1">
      <c r="A33" s="101">
        <v>16</v>
      </c>
      <c r="B33" s="102" t="s">
        <v>54</v>
      </c>
      <c r="C33" s="103" t="s">
        <v>2</v>
      </c>
      <c r="D33" s="104">
        <v>1</v>
      </c>
      <c r="E33" s="105">
        <v>150</v>
      </c>
      <c r="F33" s="68">
        <f t="shared" si="1"/>
        <v>150</v>
      </c>
      <c r="G33" s="36"/>
    </row>
    <row r="34" spans="1:15" s="29" customFormat="1" ht="17.25" customHeight="1">
      <c r="A34" s="101">
        <v>17</v>
      </c>
      <c r="B34" s="102" t="s">
        <v>55</v>
      </c>
      <c r="C34" s="103" t="s">
        <v>2</v>
      </c>
      <c r="D34" s="104">
        <v>1</v>
      </c>
      <c r="E34" s="105">
        <v>120</v>
      </c>
      <c r="F34" s="68">
        <f t="shared" si="1"/>
        <v>120</v>
      </c>
      <c r="G34" s="96"/>
      <c r="H34" s="97"/>
      <c r="I34" s="98"/>
      <c r="J34" s="30"/>
      <c r="K34" s="30"/>
      <c r="L34" s="30"/>
      <c r="M34" s="30"/>
      <c r="N34" s="30"/>
      <c r="O34" s="30"/>
    </row>
    <row r="35" spans="1:15" s="29" customFormat="1" ht="17.25" customHeight="1">
      <c r="A35" s="101">
        <v>18</v>
      </c>
      <c r="B35" s="102" t="s">
        <v>56</v>
      </c>
      <c r="C35" s="103" t="s">
        <v>2</v>
      </c>
      <c r="D35" s="104">
        <v>1</v>
      </c>
      <c r="E35" s="105">
        <v>90</v>
      </c>
      <c r="F35" s="68">
        <f t="shared" si="1"/>
        <v>90</v>
      </c>
      <c r="G35" s="96"/>
      <c r="H35" s="97"/>
      <c r="I35" s="98"/>
      <c r="J35" s="30"/>
      <c r="K35" s="30"/>
      <c r="L35" s="30"/>
      <c r="M35" s="30"/>
      <c r="N35" s="30"/>
      <c r="O35" s="30"/>
    </row>
    <row r="36" spans="1:15" s="29" customFormat="1" ht="17.25" customHeight="1">
      <c r="A36" s="101"/>
      <c r="B36" s="102" t="s">
        <v>58</v>
      </c>
      <c r="C36" s="103" t="s">
        <v>2</v>
      </c>
      <c r="D36" s="107">
        <v>3</v>
      </c>
      <c r="E36" s="105">
        <v>1400</v>
      </c>
      <c r="F36" s="68">
        <f t="shared" si="1"/>
        <v>4200</v>
      </c>
      <c r="G36" s="96"/>
      <c r="H36" s="97"/>
      <c r="I36" s="98"/>
      <c r="J36" s="30"/>
      <c r="K36" s="30"/>
      <c r="L36" s="30"/>
      <c r="M36" s="30"/>
      <c r="N36" s="30"/>
      <c r="O36" s="30"/>
    </row>
    <row r="37" spans="1:15" s="29" customFormat="1" ht="17.25" customHeight="1">
      <c r="A37" s="101"/>
      <c r="B37" s="102" t="s">
        <v>59</v>
      </c>
      <c r="C37" s="103" t="s">
        <v>2</v>
      </c>
      <c r="D37" s="107">
        <v>3</v>
      </c>
      <c r="E37" s="105">
        <v>1600</v>
      </c>
      <c r="F37" s="68">
        <f t="shared" si="1"/>
        <v>4800</v>
      </c>
      <c r="G37" s="96"/>
      <c r="H37" s="97"/>
      <c r="I37" s="98"/>
      <c r="J37" s="30"/>
      <c r="K37" s="30"/>
      <c r="L37" s="30"/>
      <c r="M37" s="30"/>
      <c r="N37" s="30"/>
      <c r="O37" s="30"/>
    </row>
    <row r="38" spans="1:6" ht="15">
      <c r="A38" s="57"/>
      <c r="B38" s="41" t="s">
        <v>8</v>
      </c>
      <c r="C38" s="41"/>
      <c r="D38" s="41"/>
      <c r="E38" s="41"/>
      <c r="F38" s="41">
        <f>SUM(F16:F37)</f>
        <v>63803.554375000014</v>
      </c>
    </row>
    <row r="39" spans="1:6" ht="15.75">
      <c r="A39" s="140" t="s">
        <v>47</v>
      </c>
      <c r="B39" s="141"/>
      <c r="C39" s="141"/>
      <c r="D39" s="141"/>
      <c r="E39" s="141"/>
      <c r="F39" s="141"/>
    </row>
    <row r="40" spans="1:6" ht="28.5">
      <c r="A40" s="67">
        <v>1</v>
      </c>
      <c r="B40" s="64" t="s">
        <v>17</v>
      </c>
      <c r="C40" s="65" t="s">
        <v>14</v>
      </c>
      <c r="D40" s="108">
        <v>5</v>
      </c>
      <c r="E40" s="39">
        <v>350</v>
      </c>
      <c r="F40" s="68">
        <f>D40*E40</f>
        <v>1750</v>
      </c>
    </row>
    <row r="41" spans="1:6" ht="15">
      <c r="A41" s="67">
        <v>2</v>
      </c>
      <c r="B41" s="64" t="s">
        <v>10</v>
      </c>
      <c r="C41" s="65" t="s">
        <v>1</v>
      </c>
      <c r="D41" s="108">
        <v>495</v>
      </c>
      <c r="E41" s="39">
        <v>10</v>
      </c>
      <c r="F41" s="68">
        <f>D41*E41</f>
        <v>4950</v>
      </c>
    </row>
    <row r="42" spans="1:6" ht="15">
      <c r="A42" s="67">
        <v>3</v>
      </c>
      <c r="B42" s="64" t="s">
        <v>39</v>
      </c>
      <c r="C42" s="65" t="s">
        <v>2</v>
      </c>
      <c r="D42" s="108">
        <v>1</v>
      </c>
      <c r="E42" s="39">
        <v>700</v>
      </c>
      <c r="F42" s="68">
        <f>D42*E42</f>
        <v>700</v>
      </c>
    </row>
    <row r="43" spans="1:6" ht="15">
      <c r="A43" s="58"/>
      <c r="B43" s="41" t="s">
        <v>8</v>
      </c>
      <c r="C43" s="41"/>
      <c r="D43" s="41"/>
      <c r="E43" s="41"/>
      <c r="F43" s="41">
        <f>SUM(F40:F42)</f>
        <v>7400</v>
      </c>
    </row>
    <row r="44" spans="1:6" ht="20.25" customHeight="1">
      <c r="A44" s="58"/>
      <c r="B44" s="44" t="s">
        <v>9</v>
      </c>
      <c r="C44" s="44"/>
      <c r="D44" s="45"/>
      <c r="E44" s="45"/>
      <c r="F44" s="45">
        <f>F14+F38+F43</f>
        <v>146006.554375</v>
      </c>
    </row>
    <row r="45" spans="1:6" ht="15">
      <c r="A45" s="37"/>
      <c r="B45" s="12" t="s">
        <v>12</v>
      </c>
      <c r="C45" s="43"/>
      <c r="D45" s="42"/>
      <c r="E45" s="42"/>
      <c r="F45" s="40"/>
    </row>
    <row r="46" spans="1:6" ht="15">
      <c r="A46" s="37"/>
      <c r="B46" s="12" t="s">
        <v>16</v>
      </c>
      <c r="C46" s="43"/>
      <c r="D46" s="42"/>
      <c r="E46" s="42"/>
      <c r="F46" s="40"/>
    </row>
    <row r="47" spans="1:6" ht="15.75">
      <c r="A47" s="38"/>
      <c r="B47" s="12" t="s">
        <v>13</v>
      </c>
      <c r="C47" s="43"/>
      <c r="D47" s="42"/>
      <c r="E47" s="42"/>
      <c r="F47" s="40"/>
    </row>
    <row r="48" spans="1:6" ht="15">
      <c r="A48" s="56"/>
      <c r="B48" s="46" t="s">
        <v>15</v>
      </c>
      <c r="C48" s="47"/>
      <c r="D48" s="48"/>
      <c r="E48" s="48"/>
      <c r="F48" s="49">
        <f>0.03*F44</f>
        <v>4380.19663125</v>
      </c>
    </row>
    <row r="49" spans="1:6" ht="16.5">
      <c r="A49" s="59"/>
      <c r="B49" s="52" t="s">
        <v>11</v>
      </c>
      <c r="C49" s="52"/>
      <c r="D49" s="53"/>
      <c r="E49" s="53"/>
      <c r="F49" s="53">
        <f>F44+F48</f>
        <v>150386.75100625</v>
      </c>
    </row>
    <row r="50" spans="1:6" ht="16.5">
      <c r="A50" s="60"/>
      <c r="B50" s="50" t="s">
        <v>18</v>
      </c>
      <c r="C50" s="50"/>
      <c r="D50" s="51"/>
      <c r="E50" s="51"/>
      <c r="F50" s="51">
        <f>0.2*F49</f>
        <v>30077.350201250003</v>
      </c>
    </row>
    <row r="51" spans="1:6" ht="16.5">
      <c r="A51" s="61"/>
      <c r="B51" s="54" t="s">
        <v>19</v>
      </c>
      <c r="C51" s="54"/>
      <c r="D51" s="55"/>
      <c r="E51" s="55"/>
      <c r="F51" s="55">
        <f>F49+F50</f>
        <v>180464.1012075</v>
      </c>
    </row>
    <row r="52" spans="2:6" ht="15.75" customHeight="1">
      <c r="B52" s="9"/>
      <c r="C52" s="9"/>
      <c r="D52" s="10"/>
      <c r="E52" s="10"/>
      <c r="F52" s="10"/>
    </row>
    <row r="53" spans="2:6" ht="18.75">
      <c r="B53" s="62"/>
      <c r="C53" s="62"/>
      <c r="D53" s="62"/>
      <c r="E53" s="62"/>
      <c r="F53" s="62"/>
    </row>
    <row r="55" spans="4:6" ht="15">
      <c r="D55" s="2"/>
      <c r="E55" s="2"/>
      <c r="F55" s="2"/>
    </row>
    <row r="67" spans="4:15" s="2" customFormat="1" ht="15">
      <c r="D67" s="5"/>
      <c r="E67" s="5"/>
      <c r="F67" s="5"/>
      <c r="G67" s="1"/>
      <c r="H67" s="1"/>
      <c r="I67" s="1"/>
      <c r="J67" s="1"/>
      <c r="K67" s="1"/>
      <c r="L67" s="1"/>
      <c r="M67" s="1"/>
      <c r="N67" s="1"/>
      <c r="O67" s="1"/>
    </row>
  </sheetData>
  <sheetProtection/>
  <autoFilter ref="A4:F51"/>
  <mergeCells count="5">
    <mergeCell ref="A39:F39"/>
    <mergeCell ref="B1:F1"/>
    <mergeCell ref="B2:F2"/>
    <mergeCell ref="A5:F5"/>
    <mergeCell ref="A15:F15"/>
  </mergeCells>
  <printOptions horizontalCentered="1"/>
  <pageMargins left="0.31496062992125984" right="0.31496062992125984" top="0.4724409448818898" bottom="0.3937007874015748" header="0.5511811023622047" footer="0.1968503937007874"/>
  <pageSetup fitToHeight="0" fitToWidth="1" horizontalDpi="600" verticalDpi="600" orientation="landscape" paperSize="9" scale="74" r:id="rId3"/>
  <headerFooter alignWithMargins="0">
    <oddFooter>&amp;C&amp;P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2">
      <selection activeCell="E33" sqref="E33"/>
    </sheetView>
  </sheetViews>
  <sheetFormatPr defaultColWidth="9.00390625" defaultRowHeight="14.25"/>
  <sheetData>
    <row r="1" spans="1:12" ht="14.25">
      <c r="A1" s="76" t="s">
        <v>41</v>
      </c>
      <c r="B1" s="77"/>
      <c r="C1" s="77"/>
      <c r="D1" s="78"/>
      <c r="F1" s="80"/>
      <c r="G1" s="80"/>
      <c r="H1" s="80"/>
      <c r="J1" t="s">
        <v>45</v>
      </c>
      <c r="L1" t="s">
        <v>46</v>
      </c>
    </row>
    <row r="2" spans="1:14" ht="14.25">
      <c r="A2" s="79">
        <v>13.05</v>
      </c>
      <c r="B2" s="80">
        <v>6.5</v>
      </c>
      <c r="C2" s="80">
        <f>0.9*2.1+1*2.1</f>
        <v>3.99</v>
      </c>
      <c r="D2" s="81">
        <f>A2*B2-C2</f>
        <v>80.83500000000001</v>
      </c>
      <c r="F2" s="80"/>
      <c r="G2" s="80"/>
      <c r="H2" s="80"/>
      <c r="J2">
        <f>A2*4</f>
        <v>52.2</v>
      </c>
      <c r="L2">
        <f>A2/0.4+1</f>
        <v>33.625</v>
      </c>
      <c r="M2">
        <f>L2*4</f>
        <v>134.5</v>
      </c>
      <c r="N2">
        <f>L2*3</f>
        <v>100.875</v>
      </c>
    </row>
    <row r="3" spans="1:14" ht="14.25">
      <c r="A3" s="79">
        <v>4.9</v>
      </c>
      <c r="B3" s="80">
        <v>6.5</v>
      </c>
      <c r="C3" s="80">
        <f>0.9*2.1</f>
        <v>1.8900000000000001</v>
      </c>
      <c r="D3" s="81">
        <f>A3*B3-C3</f>
        <v>29.96</v>
      </c>
      <c r="F3" s="80"/>
      <c r="G3" s="80"/>
      <c r="H3" s="80"/>
      <c r="J3" s="8">
        <f>A3*4</f>
        <v>19.6</v>
      </c>
      <c r="L3" s="8">
        <f>A3/0.4+1</f>
        <v>13.25</v>
      </c>
      <c r="M3" s="8">
        <f>L3*4</f>
        <v>53</v>
      </c>
      <c r="N3" s="8">
        <f>L3*3</f>
        <v>39.75</v>
      </c>
    </row>
    <row r="4" spans="1:14" ht="15" thickBot="1">
      <c r="A4" s="79">
        <f>1.4*2+2.2</f>
        <v>5</v>
      </c>
      <c r="B4" s="80">
        <v>6.5</v>
      </c>
      <c r="C4" s="80">
        <f>0.7*2.1</f>
        <v>1.47</v>
      </c>
      <c r="D4" s="81">
        <f>A4*B4-C4</f>
        <v>31.03</v>
      </c>
      <c r="F4" s="80"/>
      <c r="G4" s="80"/>
      <c r="H4" s="80"/>
      <c r="J4" s="8">
        <f>A4*4</f>
        <v>20</v>
      </c>
      <c r="L4" s="8">
        <f>A4/0.4+1</f>
        <v>13.5</v>
      </c>
      <c r="M4" s="8">
        <f>L4*4</f>
        <v>54</v>
      </c>
      <c r="N4" s="8">
        <f>L4*3</f>
        <v>40.5</v>
      </c>
    </row>
    <row r="5" spans="1:14" ht="15.75" thickBot="1">
      <c r="A5" s="82"/>
      <c r="B5" s="83"/>
      <c r="C5" s="83"/>
      <c r="D5" s="75">
        <f>SUM(D2:D4)</f>
        <v>141.82500000000002</v>
      </c>
      <c r="J5" s="75">
        <f>SUM(J2:J4)</f>
        <v>91.80000000000001</v>
      </c>
      <c r="M5" s="75">
        <f>SUM(M2:M4)</f>
        <v>241.5</v>
      </c>
      <c r="N5" s="75">
        <f>SUM(N2:N4)</f>
        <v>181.125</v>
      </c>
    </row>
    <row r="6" s="8" customFormat="1" ht="15" thickBot="1"/>
    <row r="7" spans="1:4" s="8" customFormat="1" ht="14.25">
      <c r="A7" s="76" t="s">
        <v>48</v>
      </c>
      <c r="B7" s="77"/>
      <c r="C7" s="77"/>
      <c r="D7" s="78"/>
    </row>
    <row r="8" spans="1:14" s="8" customFormat="1" ht="14.25">
      <c r="A8" s="79">
        <v>40.2</v>
      </c>
      <c r="B8" s="80">
        <v>6.5</v>
      </c>
      <c r="C8" s="80"/>
      <c r="D8" s="81">
        <f>A8*B8</f>
        <v>261.3</v>
      </c>
      <c r="J8" s="8">
        <f>A8*4</f>
        <v>160.8</v>
      </c>
      <c r="L8" s="8">
        <f>A8/0.4+1</f>
        <v>101.5</v>
      </c>
      <c r="M8" s="8">
        <f>L8*4</f>
        <v>406</v>
      </c>
      <c r="N8" s="8">
        <f>L8*3</f>
        <v>304.5</v>
      </c>
    </row>
    <row r="9" spans="1:14" s="8" customFormat="1" ht="15" thickBot="1">
      <c r="A9" s="79">
        <f>0.25+0.69+0.25</f>
        <v>1.19</v>
      </c>
      <c r="B9" s="80">
        <v>6.5</v>
      </c>
      <c r="C9" s="80"/>
      <c r="D9" s="81">
        <f>A9*B9</f>
        <v>7.734999999999999</v>
      </c>
      <c r="J9" s="8">
        <f>A9*4</f>
        <v>4.76</v>
      </c>
      <c r="L9" s="8">
        <f>A9/0.4+1</f>
        <v>3.9749999999999996</v>
      </c>
      <c r="M9" s="8">
        <f>L9*4</f>
        <v>15.899999999999999</v>
      </c>
      <c r="N9" s="8">
        <f>L9*3</f>
        <v>11.924999999999999</v>
      </c>
    </row>
    <row r="10" spans="1:14" s="8" customFormat="1" ht="15.75" thickBot="1">
      <c r="A10" s="82"/>
      <c r="B10" s="83"/>
      <c r="C10" s="83"/>
      <c r="D10" s="75">
        <f>A10*B10+D8</f>
        <v>261.3</v>
      </c>
      <c r="J10" s="75">
        <f>A10*3+J8</f>
        <v>160.8</v>
      </c>
      <c r="L10" s="99"/>
      <c r="M10" s="75">
        <f>SUM(M8:M9)</f>
        <v>421.9</v>
      </c>
      <c r="N10" s="75">
        <f>SUM(N8:N9)</f>
        <v>316.425</v>
      </c>
    </row>
    <row r="11" s="8" customFormat="1" ht="14.25"/>
    <row r="12" s="8" customFormat="1" ht="14.25"/>
    <row r="13" s="8" customFormat="1" ht="14.25"/>
    <row r="14" ht="15" thickBot="1"/>
    <row r="15" spans="1:8" ht="14.25">
      <c r="A15" s="85" t="s">
        <v>42</v>
      </c>
      <c r="B15" s="86"/>
      <c r="C15" s="86"/>
      <c r="D15" s="86"/>
      <c r="E15" s="76"/>
      <c r="F15" s="77"/>
      <c r="G15" s="77"/>
      <c r="H15" s="78"/>
    </row>
    <row r="16" spans="1:8" ht="14.25">
      <c r="A16" s="87" t="s">
        <v>43</v>
      </c>
      <c r="B16" s="84"/>
      <c r="C16" s="84"/>
      <c r="D16" s="84"/>
      <c r="E16" s="79" t="s">
        <v>44</v>
      </c>
      <c r="F16" s="80"/>
      <c r="G16" s="80"/>
      <c r="H16" s="81"/>
    </row>
    <row r="17" spans="1:8" ht="14.25">
      <c r="A17" s="87">
        <v>35.2</v>
      </c>
      <c r="B17" s="84">
        <v>6.5</v>
      </c>
      <c r="C17" s="84"/>
      <c r="D17" s="84">
        <f>A17*B17-C17</f>
        <v>228.8</v>
      </c>
      <c r="E17" s="79">
        <f>4.9*2+7.1*2</f>
        <v>24</v>
      </c>
      <c r="F17" s="80">
        <v>6.5</v>
      </c>
      <c r="G17" s="80">
        <f>0.9*2.1+1*2.1</f>
        <v>3.99</v>
      </c>
      <c r="H17" s="88">
        <f>E17*F17-G17</f>
        <v>152.01</v>
      </c>
    </row>
    <row r="18" spans="1:8" ht="14.25">
      <c r="A18" s="87">
        <v>13.015</v>
      </c>
      <c r="B18" s="84">
        <v>2.5</v>
      </c>
      <c r="C18" s="84"/>
      <c r="D18" s="84">
        <f aca="true" t="shared" si="0" ref="D18:D25">A18*B18-C18</f>
        <v>32.5375</v>
      </c>
      <c r="E18" s="79">
        <f>4.9*2+5.8*2</f>
        <v>21.4</v>
      </c>
      <c r="F18" s="80">
        <v>6.5</v>
      </c>
      <c r="G18" s="80"/>
      <c r="H18" s="88">
        <f>E18*F18-G18</f>
        <v>139.1</v>
      </c>
    </row>
    <row r="19" spans="1:8" ht="14.25">
      <c r="A19" s="87">
        <f>2+1.3</f>
        <v>3.3</v>
      </c>
      <c r="B19" s="84">
        <v>6.5</v>
      </c>
      <c r="C19" s="80"/>
      <c r="D19" s="84">
        <f t="shared" si="0"/>
        <v>21.45</v>
      </c>
      <c r="E19" s="79"/>
      <c r="F19" s="80"/>
      <c r="G19" s="80"/>
      <c r="H19" s="88"/>
    </row>
    <row r="20" spans="1:8" ht="14.25">
      <c r="A20" s="87">
        <v>16.3</v>
      </c>
      <c r="B20" s="84">
        <v>6.5</v>
      </c>
      <c r="C20" s="84"/>
      <c r="D20" s="84">
        <f t="shared" si="0"/>
        <v>105.95</v>
      </c>
      <c r="E20" s="79"/>
      <c r="F20" s="80"/>
      <c r="G20" s="80"/>
      <c r="H20" s="88"/>
    </row>
    <row r="21" spans="1:8" ht="14.25">
      <c r="A21" s="87">
        <v>0.85</v>
      </c>
      <c r="B21" s="84">
        <v>6.5</v>
      </c>
      <c r="C21" s="84"/>
      <c r="D21" s="84">
        <f t="shared" si="0"/>
        <v>5.5249999999999995</v>
      </c>
      <c r="E21" s="79"/>
      <c r="F21" s="80"/>
      <c r="G21" s="84"/>
      <c r="H21" s="88"/>
    </row>
    <row r="22" spans="1:8" s="8" customFormat="1" ht="14.25">
      <c r="A22" s="87">
        <v>4.6</v>
      </c>
      <c r="B22" s="84">
        <v>6.5</v>
      </c>
      <c r="C22" s="84"/>
      <c r="D22" s="84">
        <f t="shared" si="0"/>
        <v>29.9</v>
      </c>
      <c r="E22" s="79"/>
      <c r="F22" s="80"/>
      <c r="G22" s="84"/>
      <c r="H22" s="88"/>
    </row>
    <row r="23" spans="1:8" s="8" customFormat="1" ht="14.25">
      <c r="A23" s="87">
        <v>16.4</v>
      </c>
      <c r="B23" s="84">
        <v>6.5</v>
      </c>
      <c r="C23" s="84"/>
      <c r="D23" s="84">
        <f t="shared" si="0"/>
        <v>106.6</v>
      </c>
      <c r="E23" s="79"/>
      <c r="F23" s="80"/>
      <c r="G23" s="84"/>
      <c r="H23" s="88"/>
    </row>
    <row r="24" spans="1:8" s="8" customFormat="1" ht="14.25">
      <c r="A24" s="87">
        <f>0.655*2+0.84*2</f>
        <v>2.99</v>
      </c>
      <c r="B24" s="84">
        <v>6.5</v>
      </c>
      <c r="C24" s="84"/>
      <c r="D24" s="84">
        <f t="shared" si="0"/>
        <v>19.435000000000002</v>
      </c>
      <c r="E24" s="79"/>
      <c r="F24" s="80"/>
      <c r="G24" s="84"/>
      <c r="H24" s="88"/>
    </row>
    <row r="25" spans="1:8" ht="15" thickBot="1">
      <c r="A25" s="87">
        <f>0.615*0.69</f>
        <v>0.42434999999999995</v>
      </c>
      <c r="B25" s="84">
        <v>6.5</v>
      </c>
      <c r="C25" s="84"/>
      <c r="D25" s="84">
        <f t="shared" si="0"/>
        <v>2.758275</v>
      </c>
      <c r="E25" s="79"/>
      <c r="F25" s="80"/>
      <c r="G25" s="80"/>
      <c r="H25" s="88"/>
    </row>
    <row r="26" spans="1:8" s="8" customFormat="1" ht="15.75" thickBot="1">
      <c r="A26" s="87"/>
      <c r="B26" s="84"/>
      <c r="C26" s="84"/>
      <c r="D26" s="84"/>
      <c r="E26" s="79"/>
      <c r="F26" s="80"/>
      <c r="G26" s="80"/>
      <c r="H26" s="75">
        <f>SUM(H17:H25)</f>
        <v>291.11</v>
      </c>
    </row>
    <row r="27" spans="1:8" ht="15.75" thickBot="1">
      <c r="A27" s="89"/>
      <c r="B27" s="90"/>
      <c r="C27" s="90"/>
      <c r="D27" s="91">
        <f>SUM(D17:D26)</f>
        <v>552.955775</v>
      </c>
      <c r="E27" s="79"/>
      <c r="F27" s="80"/>
      <c r="G27" s="80"/>
      <c r="H27" s="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part3</dc:creator>
  <cp:keywords/>
  <dc:description/>
  <cp:lastModifiedBy>Светлана Шумская</cp:lastModifiedBy>
  <cp:lastPrinted>2018-05-25T14:53:21Z</cp:lastPrinted>
  <dcterms:created xsi:type="dcterms:W3CDTF">2011-09-07T12:46:40Z</dcterms:created>
  <dcterms:modified xsi:type="dcterms:W3CDTF">2018-08-06T07:46:54Z</dcterms:modified>
  <cp:category/>
  <cp:version/>
  <cp:contentType/>
  <cp:contentStatus/>
</cp:coreProperties>
</file>