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Расчет чистый" sheetId="3" r:id="rId1"/>
  </sheets>
  <calcPr calcId="125725"/>
</workbook>
</file>

<file path=xl/calcChain.xml><?xml version="1.0" encoding="utf-8"?>
<calcChain xmlns="http://schemas.openxmlformats.org/spreadsheetml/2006/main">
  <c r="F174" i="3"/>
  <c r="F133"/>
  <c r="F68"/>
  <c r="F112"/>
  <c r="F132"/>
  <c r="F67"/>
  <c r="D128"/>
  <c r="D129"/>
  <c r="D153"/>
  <c r="D27"/>
  <c r="C178"/>
  <c r="C179"/>
  <c r="C180"/>
  <c r="C182"/>
  <c r="C183"/>
  <c r="F179" s="1"/>
  <c r="D183"/>
  <c r="F183"/>
  <c r="C184"/>
  <c r="C186"/>
  <c r="B186" s="1"/>
  <c r="D186"/>
  <c r="C187"/>
  <c r="D187"/>
  <c r="D188"/>
  <c r="D189"/>
  <c r="D190"/>
  <c r="D191"/>
  <c r="D192"/>
  <c r="E192"/>
  <c r="C194"/>
  <c r="B194" s="1"/>
  <c r="D194"/>
  <c r="C195"/>
  <c r="D195"/>
  <c r="D196"/>
  <c r="D197"/>
  <c r="D198"/>
  <c r="D199"/>
  <c r="E199"/>
  <c r="E200"/>
  <c r="F200"/>
  <c r="G200"/>
  <c r="F115"/>
  <c r="D105"/>
  <c r="D101"/>
  <c r="D59"/>
  <c r="D83"/>
  <c r="D51"/>
  <c r="D45"/>
  <c r="D44" s="1"/>
  <c r="D41"/>
  <c r="D33"/>
  <c r="F33" s="1"/>
  <c r="D34"/>
  <c r="D39" s="1"/>
  <c r="D40" s="1"/>
  <c r="F40" s="1"/>
  <c r="D32"/>
  <c r="F32" s="1"/>
  <c r="D35"/>
  <c r="D28"/>
  <c r="D19"/>
  <c r="D20" s="1"/>
  <c r="D13"/>
  <c r="D10"/>
  <c r="D16" s="1"/>
  <c r="D49" l="1"/>
  <c r="D25"/>
  <c r="D8"/>
  <c r="D7"/>
  <c r="D9"/>
  <c r="F156"/>
  <c r="F128"/>
  <c r="D124"/>
  <c r="D75"/>
  <c r="D77" s="1"/>
  <c r="D72"/>
  <c r="D52"/>
  <c r="F52"/>
  <c r="F47"/>
  <c r="F49"/>
  <c r="F46"/>
  <c r="D42"/>
  <c r="D22"/>
  <c r="D26" l="1"/>
  <c r="F26" s="1"/>
  <c r="F25"/>
  <c r="F45"/>
  <c r="F44"/>
  <c r="D48"/>
  <c r="F22" l="1"/>
  <c r="D21"/>
  <c r="D15"/>
  <c r="D37"/>
  <c r="D11"/>
  <c r="D12" s="1"/>
  <c r="D6"/>
  <c r="F6" s="1"/>
  <c r="D36" l="1"/>
  <c r="F36" s="1"/>
  <c r="F35"/>
  <c r="F34"/>
  <c r="F154"/>
  <c r="D92"/>
  <c r="D38" l="1"/>
  <c r="F38" s="1"/>
  <c r="F65"/>
  <c r="F157"/>
  <c r="F144" l="1"/>
  <c r="F145" s="1"/>
  <c r="F125"/>
  <c r="F129"/>
  <c r="F130"/>
  <c r="F126"/>
  <c r="F124"/>
  <c r="D76"/>
  <c r="F76" s="1"/>
  <c r="D74"/>
  <c r="F74" s="1"/>
  <c r="F108"/>
  <c r="F107"/>
  <c r="F106"/>
  <c r="F105"/>
  <c r="F101"/>
  <c r="D98"/>
  <c r="F98" s="1"/>
  <c r="F75"/>
  <c r="F91"/>
  <c r="D88"/>
  <c r="D87"/>
  <c r="D90"/>
  <c r="F90" s="1"/>
  <c r="F88"/>
  <c r="F87"/>
  <c r="F89"/>
  <c r="D84"/>
  <c r="F82"/>
  <c r="D63"/>
  <c r="F59"/>
  <c r="F83"/>
  <c r="F72"/>
  <c r="F66"/>
  <c r="F64"/>
  <c r="F63"/>
  <c r="C63"/>
  <c r="F62"/>
  <c r="F61"/>
  <c r="F57"/>
  <c r="F56"/>
  <c r="F58"/>
  <c r="F50"/>
  <c r="F14"/>
  <c r="F23"/>
  <c r="F18"/>
  <c r="F17"/>
  <c r="F153" l="1"/>
  <c r="F159" s="1"/>
  <c r="F160" s="1"/>
  <c r="F127"/>
  <c r="F131" s="1"/>
  <c r="F77"/>
  <c r="D73"/>
  <c r="F73" s="1"/>
  <c r="F94" s="1"/>
  <c r="F92"/>
  <c r="F96"/>
  <c r="D97"/>
  <c r="F97" s="1"/>
  <c r="F99"/>
  <c r="D100"/>
  <c r="F100" s="1"/>
  <c r="F48"/>
  <c r="F7"/>
  <c r="F8"/>
  <c r="F37"/>
  <c r="F39"/>
  <c r="F110" l="1"/>
  <c r="F10"/>
  <c r="D53"/>
  <c r="F51"/>
  <c r="F9"/>
  <c r="F19"/>
  <c r="F20" l="1"/>
  <c r="F53"/>
  <c r="F111"/>
  <c r="D29"/>
  <c r="D31" s="1"/>
  <c r="F27"/>
  <c r="F28"/>
  <c r="F16"/>
  <c r="F11"/>
  <c r="F12" l="1"/>
  <c r="D30"/>
  <c r="F15"/>
  <c r="F13"/>
  <c r="F31"/>
  <c r="F30"/>
  <c r="F29"/>
  <c r="D24"/>
  <c r="F21"/>
  <c r="D43"/>
  <c r="F41"/>
  <c r="F43" l="1"/>
  <c r="F24"/>
  <c r="F42"/>
  <c r="F148" l="1"/>
  <c r="F150" l="1"/>
  <c r="F163"/>
  <c r="F165" l="1"/>
  <c r="F166" s="1"/>
  <c r="F151"/>
</calcChain>
</file>

<file path=xl/sharedStrings.xml><?xml version="1.0" encoding="utf-8"?>
<sst xmlns="http://schemas.openxmlformats.org/spreadsheetml/2006/main" count="289" uniqueCount="159">
  <si>
    <t>час</t>
  </si>
  <si>
    <t>м.куб</t>
  </si>
  <si>
    <t>м.кв.</t>
  </si>
  <si>
    <t>Закупка щебня</t>
  </si>
  <si>
    <t>Гвозди</t>
  </si>
  <si>
    <t>кг</t>
  </si>
  <si>
    <t>Круги отрезные</t>
  </si>
  <si>
    <t>шт</t>
  </si>
  <si>
    <t>м.п.</t>
  </si>
  <si>
    <t>Арматура</t>
  </si>
  <si>
    <t>т</t>
  </si>
  <si>
    <t>Доставка</t>
  </si>
  <si>
    <t>Доставка дерева</t>
  </si>
  <si>
    <t>Доставка блоков</t>
  </si>
  <si>
    <t>Монтаж блоков</t>
  </si>
  <si>
    <t>Раствор</t>
  </si>
  <si>
    <t>Работа крана</t>
  </si>
  <si>
    <t>часов</t>
  </si>
  <si>
    <t>Заливка бетона</t>
  </si>
  <si>
    <t>1-й этаж</t>
  </si>
  <si>
    <t>м.кв</t>
  </si>
  <si>
    <t>Материал</t>
  </si>
  <si>
    <t>Кран</t>
  </si>
  <si>
    <t>2-й этаж</t>
  </si>
  <si>
    <t>Транспорт</t>
  </si>
  <si>
    <t>эл</t>
  </si>
  <si>
    <t>Монолитные участки (работа +материал)</t>
  </si>
  <si>
    <t>Арматура для плит</t>
  </si>
  <si>
    <t>Перемычки</t>
  </si>
  <si>
    <t>Стены 380 мм (кирпич) работа</t>
  </si>
  <si>
    <t>Доставка арматуры</t>
  </si>
  <si>
    <t>Работа по монтажу плит и лестницы</t>
  </si>
  <si>
    <t>Монтаж перемычек</t>
  </si>
  <si>
    <t>Стены 120 мм (кирпич) работа</t>
  </si>
  <si>
    <t>Развозка щебня в ручную</t>
  </si>
  <si>
    <t xml:space="preserve">Дверь входная </t>
  </si>
  <si>
    <t>м2</t>
  </si>
  <si>
    <t>Стяжки(работа материалы)</t>
  </si>
  <si>
    <t>Штукатурка стен(гипсовая)(работа материал)</t>
  </si>
  <si>
    <t>Озеленение(без системы полива)</t>
  </si>
  <si>
    <t>Мощение (работа+материал)</t>
  </si>
  <si>
    <t>Стоимость 1 этажа коробки</t>
  </si>
  <si>
    <t>Стоимость 2 этажа коробки</t>
  </si>
  <si>
    <t>Раздел 1. Фундаменты и подвальное помещение</t>
  </si>
  <si>
    <t>Раздел 2. Коробка</t>
  </si>
  <si>
    <t>Раздел 3.</t>
  </si>
  <si>
    <t>Раздел 4. Инженерные сети</t>
  </si>
  <si>
    <t>Раздел 6.</t>
  </si>
  <si>
    <t>Кованые ворота с приводом и калитка (материал и работа)</t>
  </si>
  <si>
    <t>Расчетная стоимость по 1 разделу</t>
  </si>
  <si>
    <t>Расчетная стоимость по 5 разделу</t>
  </si>
  <si>
    <t>Расчетная стоимость по 6 разделу.</t>
  </si>
  <si>
    <t>Расчетная стоимость по разделам 1-4</t>
  </si>
  <si>
    <t>Отделка чистовая (из расчета стоимость отделки 1м2)</t>
  </si>
  <si>
    <t>Расчетная стоимость по разделам 5-6</t>
  </si>
  <si>
    <t>Расчетная стоимость по 7 разделу.</t>
  </si>
  <si>
    <t>Фасады(работа материалы)(пенопласт под короед)</t>
  </si>
  <si>
    <t>Окна(работа, материалы, отливы, подоконник)</t>
  </si>
  <si>
    <t>Электроды</t>
  </si>
  <si>
    <t>Лестница ж/б (материал- ЛМ)</t>
  </si>
  <si>
    <t>Лестница ж/б (материал- ЛП)</t>
  </si>
  <si>
    <t>Работа сварщика  и стропальщика</t>
  </si>
  <si>
    <t>Лестница ж/б (материал- Марш)</t>
  </si>
  <si>
    <t>Расчетная стоимость  по 2 разделу.</t>
  </si>
  <si>
    <t>Расчетная стоимсоть по 3 разделу.</t>
  </si>
  <si>
    <t>Расчетная стоимость по 4 разделу.</t>
  </si>
  <si>
    <t>Раздел 7. Расчетная стоимость строительства под ключ</t>
  </si>
  <si>
    <t>Расчетная стоимость дома в у.е.1 к 8</t>
  </si>
  <si>
    <t>доставка</t>
  </si>
  <si>
    <t>достава</t>
  </si>
  <si>
    <t>доствака</t>
  </si>
  <si>
    <t>Разворачивание площадки</t>
  </si>
  <si>
    <t>Периметр фундамента</t>
  </si>
  <si>
    <t xml:space="preserve">Площадь котлована </t>
  </si>
  <si>
    <t>Глубина котлована</t>
  </si>
  <si>
    <t>Ширина подбетонки</t>
  </si>
  <si>
    <t>Сетка кладочная для армирования выравнивающего слоя бетона подвала</t>
  </si>
  <si>
    <t>Гидроизоляция горизонтальная</t>
  </si>
  <si>
    <t>Внутренний фундамент</t>
  </si>
  <si>
    <t>Закупка  ФБС 24-4-6</t>
  </si>
  <si>
    <t xml:space="preserve">Арматура </t>
  </si>
  <si>
    <t>Работа по укладке бетона в монолитный пояс (высота=0,3м, ширина=0,4м)</t>
  </si>
  <si>
    <t>Доставка (утиплителя, гидроизоляции, расходных материалов)</t>
  </si>
  <si>
    <t>Раствор для блоков</t>
  </si>
  <si>
    <t>Утепление фундаментов (материал - пенопласт 0,08м)</t>
  </si>
  <si>
    <t>Раздел 5. Стоимость дома по разделам 1-4 (без отделки и благоустройства)</t>
  </si>
  <si>
    <t>Разбивка осей здания (с актом выноса осей)</t>
  </si>
  <si>
    <t>Монтаж прогонов</t>
  </si>
  <si>
    <t>Прогон 1-го этажа + прогон подвала</t>
  </si>
  <si>
    <t>пожарка(работа и согласование)</t>
  </si>
  <si>
    <t>работа по водостоку</t>
  </si>
  <si>
    <t>работа по монтажу кровли (с утеплением)</t>
  </si>
  <si>
    <t>Электриоснабжение внешние сети (проект, работа и материал) по аналогу</t>
  </si>
  <si>
    <t>Электриоснабжение внутреннее (проект, работа и материал) по аналогу</t>
  </si>
  <si>
    <t>Водоснабжение внутреннее (проект, работа и материал) по аналогу</t>
  </si>
  <si>
    <t>Водоснабжение внешние сети(проект, работа и материал)  по аналогу</t>
  </si>
  <si>
    <t>Канализация внутренняя и выгребная яма(работа и материал) по аналогу</t>
  </si>
  <si>
    <t>Отопление (проект, работа и материал) по аналогу</t>
  </si>
  <si>
    <t>Газоснабжение внутреннее и наружное(проект, работа и материал)по аналогу</t>
  </si>
  <si>
    <t>Разработка котлована                (100м.кв*2,27м,) 95%</t>
  </si>
  <si>
    <t>Вывоз грунта                       (800 гривен машина) -70%</t>
  </si>
  <si>
    <t>Трамбовка основания котлована                     110м.кв</t>
  </si>
  <si>
    <t>Сетка кладочная для армированной стяжки</t>
  </si>
  <si>
    <t xml:space="preserve">Развозка щебня в ручную </t>
  </si>
  <si>
    <t>Бетон для выравнивающей стяжки под монолитное основание фундамента толщиной 0,15м, шириною 0,8м</t>
  </si>
  <si>
    <t>Работа по укладке бетона</t>
  </si>
  <si>
    <t>Щебень</t>
  </si>
  <si>
    <t>Подсыпка и трамбовка щебня под выравнивающую стяжку пола подвала толщиной 0,1м</t>
  </si>
  <si>
    <t>Бетона для выравнивающей стяжки пола  подвала толшиною 0,10м</t>
  </si>
  <si>
    <t>Работа по укладке бетона выравнивающей стяжки пола подвала</t>
  </si>
  <si>
    <t>Подсыпка и трамбовка щебня под монолитное основание фундамента толщиной 0,2м</t>
  </si>
  <si>
    <t xml:space="preserve">Дерево для опалубки </t>
  </si>
  <si>
    <t>Бетон для монолитной пятки (высота=0,3, ширина=0,8м)</t>
  </si>
  <si>
    <t>Работа по устройтву гидроизоляции</t>
  </si>
  <si>
    <t xml:space="preserve">Обратная засыпка </t>
  </si>
  <si>
    <t>Доработка основания котлована в ручную             5%</t>
  </si>
  <si>
    <t>Трамбовка обратной засыпки                        63,84м.кв</t>
  </si>
  <si>
    <t xml:space="preserve">Работа </t>
  </si>
  <si>
    <t>Бетон для монолитного пояса (высота=0,3м, ширина=0,4м)</t>
  </si>
  <si>
    <t>Гидроизоляция фундамент вертикальная</t>
  </si>
  <si>
    <t>Работа по гидроизоляции</t>
  </si>
  <si>
    <t xml:space="preserve">Утиплитель пола подвала </t>
  </si>
  <si>
    <t xml:space="preserve">Работа по утеплению пола подвала </t>
  </si>
  <si>
    <t>Работы по вертикальному утеплению</t>
  </si>
  <si>
    <t>Бетона для армированой стяжки пола подвала толщиною  0,07м</t>
  </si>
  <si>
    <t>Перемычка 5ПБ 27-37</t>
  </si>
  <si>
    <t>шт.</t>
  </si>
  <si>
    <t>Перемычка 3ПБ 18-37</t>
  </si>
  <si>
    <t>Перемычка 3ПБ 13-37</t>
  </si>
  <si>
    <t>Перемычка 2ПБ 13-11</t>
  </si>
  <si>
    <t>Плита перекрытия ПК 57.12</t>
  </si>
  <si>
    <t>Плита перекрытия ПК 36.12</t>
  </si>
  <si>
    <t>Лестница  ж/б (материал- Пощадка)</t>
  </si>
  <si>
    <t>Потолок 1 этажа(гипсокартон)</t>
  </si>
  <si>
    <t>Потолки(работа материалы с)</t>
  </si>
  <si>
    <t>газоблок</t>
  </si>
  <si>
    <t>100м.п.</t>
  </si>
  <si>
    <t>стена из газоблока высотой 3м</t>
  </si>
  <si>
    <t>м3</t>
  </si>
  <si>
    <t>цена</t>
  </si>
  <si>
    <t>грн</t>
  </si>
  <si>
    <t>клей</t>
  </si>
  <si>
    <t>газоблоков</t>
  </si>
  <si>
    <t>итого</t>
  </si>
  <si>
    <t>Работа по укладке бетона в монолитную пятку основания фундамента(опалубка, каркас)</t>
  </si>
  <si>
    <t>Гидроизоляция горизонтальная(рубероид)</t>
  </si>
  <si>
    <t>в у.е.</t>
  </si>
  <si>
    <t>работа по подшивке</t>
  </si>
  <si>
    <t>Кровля (работа, материалы, пожарная обработ.)</t>
  </si>
  <si>
    <t>двухскатная</t>
  </si>
  <si>
    <t>м.п</t>
  </si>
  <si>
    <t>подшивка (материал)</t>
  </si>
  <si>
    <t>водосток (материал)</t>
  </si>
  <si>
    <t>лес (материал)</t>
  </si>
  <si>
    <t>металочерепица и комплетующие (материал)</t>
  </si>
  <si>
    <t>Забор из древа (работа и материал)</t>
  </si>
  <si>
    <t>Дополнительные и непредвиденные  расходы от 1-4</t>
  </si>
  <si>
    <t>Дополнительные и непредвиденные  расходы от раздела 6</t>
  </si>
  <si>
    <t>итог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</si>
</sst>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i/>
      <sz val="13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69">
    <xf numFmtId="0" fontId="0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1" applyNumberFormat="0" applyAlignment="0" applyProtection="0"/>
    <xf numFmtId="0" fontId="9" fillId="20" borderId="32" applyNumberFormat="0" applyAlignment="0" applyProtection="0"/>
    <xf numFmtId="0" fontId="10" fillId="20" borderId="31" applyNumberFormat="0" applyAlignment="0" applyProtection="0"/>
    <xf numFmtId="0" fontId="11" fillId="0" borderId="33" applyNumberFormat="0" applyFill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36" applyNumberFormat="0" applyFill="0" applyAlignment="0" applyProtection="0"/>
    <xf numFmtId="0" fontId="15" fillId="21" borderId="3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38" applyNumberFormat="0" applyFont="0" applyAlignment="0" applyProtection="0"/>
    <xf numFmtId="0" fontId="20" fillId="0" borderId="3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1" applyNumberFormat="0" applyAlignment="0" applyProtection="0"/>
    <xf numFmtId="0" fontId="9" fillId="20" borderId="32" applyNumberFormat="0" applyAlignment="0" applyProtection="0"/>
    <xf numFmtId="0" fontId="10" fillId="20" borderId="31" applyNumberFormat="0" applyAlignment="0" applyProtection="0"/>
    <xf numFmtId="0" fontId="11" fillId="0" borderId="33" applyNumberFormat="0" applyFill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36" applyNumberFormat="0" applyFill="0" applyAlignment="0" applyProtection="0"/>
    <xf numFmtId="0" fontId="15" fillId="21" borderId="3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38" applyNumberFormat="0" applyFont="0" applyAlignment="0" applyProtection="0"/>
    <xf numFmtId="0" fontId="20" fillId="0" borderId="3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1" applyNumberFormat="0" applyAlignment="0" applyProtection="0"/>
    <xf numFmtId="0" fontId="9" fillId="20" borderId="32" applyNumberFormat="0" applyAlignment="0" applyProtection="0"/>
    <xf numFmtId="0" fontId="10" fillId="20" borderId="31" applyNumberFormat="0" applyAlignment="0" applyProtection="0"/>
    <xf numFmtId="0" fontId="11" fillId="0" borderId="33" applyNumberFormat="0" applyFill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36" applyNumberFormat="0" applyFill="0" applyAlignment="0" applyProtection="0"/>
    <xf numFmtId="0" fontId="15" fillId="21" borderId="3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38" applyNumberFormat="0" applyFont="0" applyAlignment="0" applyProtection="0"/>
    <xf numFmtId="0" fontId="20" fillId="0" borderId="3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1" applyNumberFormat="0" applyAlignment="0" applyProtection="0"/>
    <xf numFmtId="0" fontId="9" fillId="20" borderId="32" applyNumberFormat="0" applyAlignment="0" applyProtection="0"/>
    <xf numFmtId="0" fontId="10" fillId="20" borderId="31" applyNumberFormat="0" applyAlignment="0" applyProtection="0"/>
    <xf numFmtId="0" fontId="11" fillId="0" borderId="33" applyNumberFormat="0" applyFill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36" applyNumberFormat="0" applyFill="0" applyAlignment="0" applyProtection="0"/>
    <xf numFmtId="0" fontId="15" fillId="21" borderId="3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38" applyNumberFormat="0" applyFont="0" applyAlignment="0" applyProtection="0"/>
    <xf numFmtId="0" fontId="20" fillId="0" borderId="3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 applyAlignment="1">
      <alignment horizontal="right"/>
    </xf>
    <xf numFmtId="0" fontId="1" fillId="0" borderId="12" xfId="0" applyFont="1" applyBorder="1"/>
    <xf numFmtId="0" fontId="3" fillId="0" borderId="21" xfId="0" applyFont="1" applyBorder="1" applyAlignment="1">
      <alignment horizontal="right"/>
    </xf>
    <xf numFmtId="0" fontId="1" fillId="0" borderId="15" xfId="0" applyFont="1" applyFill="1" applyBorder="1" applyAlignment="1">
      <alignment horizontal="left"/>
    </xf>
    <xf numFmtId="0" fontId="1" fillId="0" borderId="3" xfId="0" applyFont="1" applyFill="1" applyBorder="1"/>
    <xf numFmtId="0" fontId="3" fillId="0" borderId="22" xfId="0" applyFont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0" fontId="1" fillId="0" borderId="1" xfId="0" applyFont="1" applyFill="1" applyBorder="1"/>
    <xf numFmtId="1" fontId="1" fillId="0" borderId="1" xfId="0" applyNumberFormat="1" applyFont="1" applyFill="1" applyBorder="1"/>
    <xf numFmtId="0" fontId="1" fillId="0" borderId="10" xfId="0" applyFont="1" applyFill="1" applyBorder="1" applyAlignment="1">
      <alignment horizontal="left" wrapText="1"/>
    </xf>
    <xf numFmtId="164" fontId="1" fillId="0" borderId="1" xfId="0" applyNumberFormat="1" applyFont="1" applyFill="1" applyBorder="1"/>
    <xf numFmtId="2" fontId="1" fillId="0" borderId="1" xfId="0" applyNumberFormat="1" applyFont="1" applyFill="1" applyBorder="1"/>
    <xf numFmtId="0" fontId="3" fillId="0" borderId="23" xfId="0" applyFont="1" applyBorder="1" applyAlignment="1">
      <alignment horizontal="right"/>
    </xf>
    <xf numFmtId="0" fontId="1" fillId="0" borderId="9" xfId="0" applyFont="1" applyFill="1" applyBorder="1" applyAlignment="1">
      <alignment horizontal="left"/>
    </xf>
    <xf numFmtId="0" fontId="1" fillId="0" borderId="2" xfId="0" applyFont="1" applyFill="1" applyBorder="1"/>
    <xf numFmtId="0" fontId="3" fillId="0" borderId="7" xfId="0" applyFont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4" xfId="0" applyFont="1" applyFill="1" applyBorder="1"/>
    <xf numFmtId="0" fontId="1" fillId="0" borderId="4" xfId="0" applyFont="1" applyBorder="1"/>
    <xf numFmtId="0" fontId="3" fillId="0" borderId="17" xfId="0" applyFont="1" applyBorder="1" applyAlignment="1">
      <alignment horizontal="right"/>
    </xf>
    <xf numFmtId="0" fontId="1" fillId="0" borderId="19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8" xfId="0" applyFont="1" applyFill="1" applyBorder="1"/>
    <xf numFmtId="0" fontId="3" fillId="0" borderId="11" xfId="0" applyFont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1" xfId="0" applyFont="1" applyFill="1" applyBorder="1"/>
    <xf numFmtId="0" fontId="3" fillId="0" borderId="25" xfId="0" applyFont="1" applyBorder="1" applyAlignment="1">
      <alignment horizontal="right"/>
    </xf>
    <xf numFmtId="0" fontId="2" fillId="0" borderId="12" xfId="0" applyFont="1" applyFill="1" applyBorder="1"/>
    <xf numFmtId="0" fontId="2" fillId="0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12" xfId="0" applyFont="1" applyFill="1" applyBorder="1"/>
    <xf numFmtId="0" fontId="1" fillId="0" borderId="20" xfId="0" applyFont="1" applyFill="1" applyBorder="1" applyAlignment="1">
      <alignment horizontal="left"/>
    </xf>
    <xf numFmtId="0" fontId="1" fillId="0" borderId="10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2" xfId="0" applyFont="1" applyBorder="1"/>
    <xf numFmtId="0" fontId="3" fillId="0" borderId="7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14" fontId="2" fillId="0" borderId="0" xfId="0" applyNumberFormat="1" applyFont="1"/>
    <xf numFmtId="0" fontId="1" fillId="0" borderId="15" xfId="0" applyFont="1" applyBorder="1" applyAlignment="1">
      <alignment horizontal="left"/>
    </xf>
    <xf numFmtId="0" fontId="1" fillId="0" borderId="26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1" fillId="0" borderId="21" xfId="0" applyFont="1" applyBorder="1"/>
    <xf numFmtId="0" fontId="1" fillId="0" borderId="25" xfId="0" applyFont="1" applyFill="1" applyBorder="1"/>
    <xf numFmtId="0" fontId="1" fillId="0" borderId="22" xfId="0" applyFont="1" applyFill="1" applyBorder="1"/>
    <xf numFmtId="0" fontId="1" fillId="0" borderId="24" xfId="0" applyFont="1" applyFill="1" applyBorder="1"/>
    <xf numFmtId="0" fontId="1" fillId="0" borderId="29" xfId="0" applyFont="1" applyFill="1" applyBorder="1"/>
    <xf numFmtId="0" fontId="1" fillId="0" borderId="30" xfId="0" applyFont="1" applyFill="1" applyBorder="1"/>
    <xf numFmtId="0" fontId="4" fillId="0" borderId="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23" fillId="0" borderId="1" xfId="1" applyFont="1" applyFill="1" applyBorder="1"/>
    <xf numFmtId="2" fontId="23" fillId="0" borderId="1" xfId="1" applyNumberFormat="1" applyFont="1" applyFill="1" applyBorder="1"/>
    <xf numFmtId="0" fontId="23" fillId="0" borderId="1" xfId="79" applyFont="1" applyFill="1" applyBorder="1"/>
    <xf numFmtId="2" fontId="23" fillId="0" borderId="1" xfId="79" applyNumberFormat="1" applyFont="1" applyFill="1" applyBorder="1"/>
    <xf numFmtId="0" fontId="23" fillId="0" borderId="1" xfId="127" applyFont="1" applyFill="1" applyBorder="1"/>
    <xf numFmtId="2" fontId="23" fillId="0" borderId="1" xfId="127" applyNumberFormat="1" applyFont="1" applyFill="1" applyBorder="1"/>
    <xf numFmtId="0" fontId="23" fillId="0" borderId="1" xfId="127" applyFont="1" applyFill="1" applyBorder="1" applyAlignment="1">
      <alignment horizontal="left"/>
    </xf>
    <xf numFmtId="0" fontId="23" fillId="0" borderId="1" xfId="79" applyFont="1" applyFill="1" applyBorder="1" applyAlignment="1">
      <alignment horizontal="left"/>
    </xf>
    <xf numFmtId="0" fontId="23" fillId="0" borderId="1" xfId="1" applyFont="1" applyFill="1" applyBorder="1" applyAlignment="1">
      <alignment horizontal="left"/>
    </xf>
    <xf numFmtId="0" fontId="23" fillId="0" borderId="1" xfId="43" applyFont="1" applyFill="1" applyBorder="1"/>
    <xf numFmtId="0" fontId="23" fillId="0" borderId="1" xfId="43" applyFont="1" applyFill="1" applyBorder="1" applyAlignment="1">
      <alignment horizontal="left"/>
    </xf>
    <xf numFmtId="2" fontId="23" fillId="0" borderId="1" xfId="43" applyNumberFormat="1" applyFont="1" applyFill="1" applyBorder="1"/>
    <xf numFmtId="2" fontId="2" fillId="0" borderId="11" xfId="0" applyNumberFormat="1" applyFont="1" applyFill="1" applyBorder="1"/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4" xfId="0" applyFont="1" applyBorder="1"/>
    <xf numFmtId="0" fontId="2" fillId="0" borderId="12" xfId="0" applyFont="1" applyBorder="1"/>
    <xf numFmtId="0" fontId="3" fillId="0" borderId="40" xfId="0" applyFont="1" applyFill="1" applyBorder="1" applyAlignment="1">
      <alignment horizontal="left"/>
    </xf>
    <xf numFmtId="0" fontId="1" fillId="0" borderId="41" xfId="0" applyFont="1" applyFill="1" applyBorder="1"/>
    <xf numFmtId="0" fontId="1" fillId="0" borderId="42" xfId="0" applyFont="1" applyFill="1" applyBorder="1" applyAlignment="1">
      <alignment horizontal="left"/>
    </xf>
    <xf numFmtId="0" fontId="1" fillId="0" borderId="43" xfId="0" applyFont="1" applyFill="1" applyBorder="1" applyAlignment="1">
      <alignment horizontal="left"/>
    </xf>
    <xf numFmtId="0" fontId="1" fillId="0" borderId="44" xfId="0" applyFont="1" applyFill="1" applyBorder="1" applyAlignment="1">
      <alignment horizontal="left"/>
    </xf>
    <xf numFmtId="0" fontId="1" fillId="0" borderId="45" xfId="0" applyFont="1" applyFill="1" applyBorder="1"/>
    <xf numFmtId="0" fontId="1" fillId="0" borderId="18" xfId="0" applyFont="1" applyFill="1" applyBorder="1" applyAlignment="1">
      <alignment horizontal="left"/>
    </xf>
    <xf numFmtId="0" fontId="1" fillId="0" borderId="18" xfId="0" applyFont="1" applyFill="1" applyBorder="1"/>
    <xf numFmtId="0" fontId="2" fillId="0" borderId="18" xfId="0" applyFont="1" applyFill="1" applyBorder="1" applyAlignment="1">
      <alignment horizontal="right"/>
    </xf>
    <xf numFmtId="0" fontId="2" fillId="0" borderId="19" xfId="0" applyFont="1" applyFill="1" applyBorder="1"/>
    <xf numFmtId="0" fontId="2" fillId="0" borderId="4" xfId="0" applyFont="1" applyBorder="1" applyAlignment="1">
      <alignment horizontal="right"/>
    </xf>
    <xf numFmtId="2" fontId="23" fillId="0" borderId="27" xfId="43" applyNumberFormat="1" applyFont="1" applyFill="1" applyBorder="1"/>
    <xf numFmtId="2" fontId="23" fillId="0" borderId="22" xfId="43" applyNumberFormat="1" applyFont="1" applyFill="1" applyBorder="1"/>
    <xf numFmtId="0" fontId="1" fillId="0" borderId="23" xfId="0" applyFont="1" applyFill="1" applyBorder="1"/>
    <xf numFmtId="2" fontId="23" fillId="0" borderId="27" xfId="1" applyNumberFormat="1" applyFont="1" applyFill="1" applyBorder="1"/>
    <xf numFmtId="2" fontId="23" fillId="0" borderId="27" xfId="79" applyNumberFormat="1" applyFont="1" applyFill="1" applyBorder="1"/>
    <xf numFmtId="0" fontId="1" fillId="0" borderId="46" xfId="0" applyFont="1" applyFill="1" applyBorder="1"/>
    <xf numFmtId="2" fontId="23" fillId="0" borderId="27" xfId="127" applyNumberFormat="1" applyFont="1" applyFill="1" applyBorder="1"/>
    <xf numFmtId="0" fontId="1" fillId="0" borderId="21" xfId="0" applyFont="1" applyFill="1" applyBorder="1"/>
    <xf numFmtId="2" fontId="23" fillId="0" borderId="22" xfId="1" applyNumberFormat="1" applyFont="1" applyFill="1" applyBorder="1"/>
    <xf numFmtId="2" fontId="23" fillId="0" borderId="22" xfId="79" applyNumberFormat="1" applyFont="1" applyFill="1" applyBorder="1"/>
    <xf numFmtId="2" fontId="23" fillId="0" borderId="22" xfId="127" applyNumberFormat="1" applyFont="1" applyFill="1" applyBorder="1"/>
    <xf numFmtId="0" fontId="1" fillId="0" borderId="47" xfId="0" applyFont="1" applyFill="1" applyBorder="1"/>
    <xf numFmtId="0" fontId="1" fillId="0" borderId="48" xfId="0" applyFont="1" applyFill="1" applyBorder="1"/>
    <xf numFmtId="0" fontId="2" fillId="0" borderId="19" xfId="0" applyFont="1" applyFill="1" applyBorder="1" applyAlignment="1">
      <alignment horizontal="right"/>
    </xf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" fillId="0" borderId="23" xfId="0" applyFont="1" applyBorder="1"/>
    <xf numFmtId="0" fontId="2" fillId="0" borderId="26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left"/>
    </xf>
    <xf numFmtId="0" fontId="1" fillId="0" borderId="49" xfId="0" applyFont="1" applyBorder="1" applyAlignment="1">
      <alignment horizontal="left"/>
    </xf>
    <xf numFmtId="0" fontId="1" fillId="0" borderId="22" xfId="0" applyFont="1" applyFill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2" fillId="0" borderId="26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0" fontId="2" fillId="0" borderId="25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1" fillId="0" borderId="21" xfId="0" applyFont="1" applyFill="1" applyBorder="1" applyAlignment="1">
      <alignment horizontal="right"/>
    </xf>
    <xf numFmtId="0" fontId="1" fillId="0" borderId="22" xfId="0" applyFont="1" applyFill="1" applyBorder="1" applyAlignment="1">
      <alignment horizontal="right"/>
    </xf>
    <xf numFmtId="0" fontId="2" fillId="0" borderId="21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2" fillId="0" borderId="18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right"/>
    </xf>
  </cellXfs>
  <cellStyles count="169">
    <cellStyle name="20% - Акцент1 2" xfId="2"/>
    <cellStyle name="20% - Акцент1 3" xfId="44"/>
    <cellStyle name="20% - Акцент1 4" xfId="86"/>
    <cellStyle name="20% - Акцент1 5" xfId="128"/>
    <cellStyle name="20% - Акцент2 2" xfId="3"/>
    <cellStyle name="20% - Акцент2 3" xfId="45"/>
    <cellStyle name="20% - Акцент2 4" xfId="87"/>
    <cellStyle name="20% - Акцент2 5" xfId="129"/>
    <cellStyle name="20% - Акцент3 2" xfId="4"/>
    <cellStyle name="20% - Акцент3 3" xfId="46"/>
    <cellStyle name="20% - Акцент3 4" xfId="88"/>
    <cellStyle name="20% - Акцент3 5" xfId="130"/>
    <cellStyle name="20% - Акцент4 2" xfId="5"/>
    <cellStyle name="20% - Акцент4 3" xfId="47"/>
    <cellStyle name="20% - Акцент4 4" xfId="89"/>
    <cellStyle name="20% - Акцент4 5" xfId="131"/>
    <cellStyle name="20% - Акцент5 2" xfId="6"/>
    <cellStyle name="20% - Акцент5 3" xfId="48"/>
    <cellStyle name="20% - Акцент5 4" xfId="90"/>
    <cellStyle name="20% - Акцент5 5" xfId="132"/>
    <cellStyle name="20% - Акцент6 2" xfId="7"/>
    <cellStyle name="20% - Акцент6 3" xfId="49"/>
    <cellStyle name="20% - Акцент6 4" xfId="91"/>
    <cellStyle name="20% - Акцент6 5" xfId="133"/>
    <cellStyle name="40% - Акцент1 2" xfId="8"/>
    <cellStyle name="40% - Акцент1 3" xfId="50"/>
    <cellStyle name="40% - Акцент1 4" xfId="92"/>
    <cellStyle name="40% - Акцент1 5" xfId="134"/>
    <cellStyle name="40% - Акцент2 2" xfId="9"/>
    <cellStyle name="40% - Акцент2 3" xfId="51"/>
    <cellStyle name="40% - Акцент2 4" xfId="93"/>
    <cellStyle name="40% - Акцент2 5" xfId="135"/>
    <cellStyle name="40% - Акцент3 2" xfId="10"/>
    <cellStyle name="40% - Акцент3 3" xfId="52"/>
    <cellStyle name="40% - Акцент3 4" xfId="94"/>
    <cellStyle name="40% - Акцент3 5" xfId="136"/>
    <cellStyle name="40% - Акцент4 2" xfId="11"/>
    <cellStyle name="40% - Акцент4 3" xfId="53"/>
    <cellStyle name="40% - Акцент4 4" xfId="95"/>
    <cellStyle name="40% - Акцент4 5" xfId="137"/>
    <cellStyle name="40% - Акцент5 2" xfId="12"/>
    <cellStyle name="40% - Акцент5 3" xfId="54"/>
    <cellStyle name="40% - Акцент5 4" xfId="96"/>
    <cellStyle name="40% - Акцент5 5" xfId="138"/>
    <cellStyle name="40% - Акцент6 2" xfId="13"/>
    <cellStyle name="40% - Акцент6 3" xfId="55"/>
    <cellStyle name="40% - Акцент6 4" xfId="97"/>
    <cellStyle name="40% - Акцент6 5" xfId="139"/>
    <cellStyle name="60% - Акцент1 2" xfId="14"/>
    <cellStyle name="60% - Акцент1 3" xfId="56"/>
    <cellStyle name="60% - Акцент1 4" xfId="98"/>
    <cellStyle name="60% - Акцент1 5" xfId="140"/>
    <cellStyle name="60% - Акцент2 2" xfId="15"/>
    <cellStyle name="60% - Акцент2 3" xfId="57"/>
    <cellStyle name="60% - Акцент2 4" xfId="99"/>
    <cellStyle name="60% - Акцент2 5" xfId="141"/>
    <cellStyle name="60% - Акцент3 2" xfId="16"/>
    <cellStyle name="60% - Акцент3 3" xfId="58"/>
    <cellStyle name="60% - Акцент3 4" xfId="100"/>
    <cellStyle name="60% - Акцент3 5" xfId="142"/>
    <cellStyle name="60% - Акцент4 2" xfId="17"/>
    <cellStyle name="60% - Акцент4 3" xfId="59"/>
    <cellStyle name="60% - Акцент4 4" xfId="101"/>
    <cellStyle name="60% - Акцент4 5" xfId="143"/>
    <cellStyle name="60% - Акцент5 2" xfId="18"/>
    <cellStyle name="60% - Акцент5 3" xfId="60"/>
    <cellStyle name="60% - Акцент5 4" xfId="102"/>
    <cellStyle name="60% - Акцент5 5" xfId="144"/>
    <cellStyle name="60% - Акцент6 2" xfId="19"/>
    <cellStyle name="60% - Акцент6 3" xfId="61"/>
    <cellStyle name="60% - Акцент6 4" xfId="103"/>
    <cellStyle name="60% - Акцент6 5" xfId="145"/>
    <cellStyle name="Акцент1 2" xfId="20"/>
    <cellStyle name="Акцент1 3" xfId="62"/>
    <cellStyle name="Акцент1 4" xfId="104"/>
    <cellStyle name="Акцент1 5" xfId="146"/>
    <cellStyle name="Акцент2 2" xfId="21"/>
    <cellStyle name="Акцент2 3" xfId="63"/>
    <cellStyle name="Акцент2 4" xfId="105"/>
    <cellStyle name="Акцент2 5" xfId="147"/>
    <cellStyle name="Акцент3 2" xfId="22"/>
    <cellStyle name="Акцент3 3" xfId="64"/>
    <cellStyle name="Акцент3 4" xfId="106"/>
    <cellStyle name="Акцент3 5" xfId="148"/>
    <cellStyle name="Акцент4 2" xfId="23"/>
    <cellStyle name="Акцент4 3" xfId="65"/>
    <cellStyle name="Акцент4 4" xfId="107"/>
    <cellStyle name="Акцент4 5" xfId="149"/>
    <cellStyle name="Акцент5 2" xfId="24"/>
    <cellStyle name="Акцент5 3" xfId="66"/>
    <cellStyle name="Акцент5 4" xfId="108"/>
    <cellStyle name="Акцент5 5" xfId="150"/>
    <cellStyle name="Акцент6 2" xfId="25"/>
    <cellStyle name="Акцент6 3" xfId="67"/>
    <cellStyle name="Акцент6 4" xfId="109"/>
    <cellStyle name="Акцент6 5" xfId="151"/>
    <cellStyle name="Ввод  2" xfId="26"/>
    <cellStyle name="Ввод  3" xfId="68"/>
    <cellStyle name="Ввод  4" xfId="110"/>
    <cellStyle name="Ввод  5" xfId="152"/>
    <cellStyle name="Вывод 2" xfId="27"/>
    <cellStyle name="Вывод 3" xfId="69"/>
    <cellStyle name="Вывод 4" xfId="111"/>
    <cellStyle name="Вывод 5" xfId="153"/>
    <cellStyle name="Вычисление 2" xfId="28"/>
    <cellStyle name="Вычисление 3" xfId="70"/>
    <cellStyle name="Вычисление 4" xfId="112"/>
    <cellStyle name="Вычисление 5" xfId="154"/>
    <cellStyle name="Заголовок 1 2" xfId="29"/>
    <cellStyle name="Заголовок 1 3" xfId="71"/>
    <cellStyle name="Заголовок 1 4" xfId="113"/>
    <cellStyle name="Заголовок 1 5" xfId="155"/>
    <cellStyle name="Заголовок 2 2" xfId="30"/>
    <cellStyle name="Заголовок 2 3" xfId="72"/>
    <cellStyle name="Заголовок 2 4" xfId="114"/>
    <cellStyle name="Заголовок 2 5" xfId="156"/>
    <cellStyle name="Заголовок 3 2" xfId="31"/>
    <cellStyle name="Заголовок 3 3" xfId="73"/>
    <cellStyle name="Заголовок 3 4" xfId="115"/>
    <cellStyle name="Заголовок 3 5" xfId="157"/>
    <cellStyle name="Заголовок 4 2" xfId="32"/>
    <cellStyle name="Заголовок 4 3" xfId="74"/>
    <cellStyle name="Заголовок 4 4" xfId="116"/>
    <cellStyle name="Заголовок 4 5" xfId="158"/>
    <cellStyle name="Итог 2" xfId="33"/>
    <cellStyle name="Итог 3" xfId="75"/>
    <cellStyle name="Итог 4" xfId="117"/>
    <cellStyle name="Итог 5" xfId="159"/>
    <cellStyle name="Контрольная ячейка 2" xfId="34"/>
    <cellStyle name="Контрольная ячейка 3" xfId="76"/>
    <cellStyle name="Контрольная ячейка 4" xfId="118"/>
    <cellStyle name="Контрольная ячейка 5" xfId="160"/>
    <cellStyle name="Название 2" xfId="35"/>
    <cellStyle name="Название 3" xfId="77"/>
    <cellStyle name="Название 4" xfId="119"/>
    <cellStyle name="Название 5" xfId="161"/>
    <cellStyle name="Нейтральный 2" xfId="36"/>
    <cellStyle name="Нейтральный 3" xfId="78"/>
    <cellStyle name="Нейтральный 4" xfId="120"/>
    <cellStyle name="Нейтральный 5" xfId="162"/>
    <cellStyle name="Обычный" xfId="0" builtinId="0"/>
    <cellStyle name="Обычный 2" xfId="1"/>
    <cellStyle name="Обычный 3" xfId="43"/>
    <cellStyle name="Обычный 4" xfId="79"/>
    <cellStyle name="Обычный 5" xfId="127"/>
    <cellStyle name="Плохой 2" xfId="37"/>
    <cellStyle name="Плохой 3" xfId="80"/>
    <cellStyle name="Плохой 4" xfId="121"/>
    <cellStyle name="Плохой 5" xfId="163"/>
    <cellStyle name="Пояснение 2" xfId="38"/>
    <cellStyle name="Пояснение 3" xfId="81"/>
    <cellStyle name="Пояснение 4" xfId="122"/>
    <cellStyle name="Пояснение 5" xfId="164"/>
    <cellStyle name="Примечание 2" xfId="39"/>
    <cellStyle name="Примечание 3" xfId="82"/>
    <cellStyle name="Примечание 4" xfId="123"/>
    <cellStyle name="Примечание 5" xfId="165"/>
    <cellStyle name="Связанная ячейка 2" xfId="40"/>
    <cellStyle name="Связанная ячейка 3" xfId="83"/>
    <cellStyle name="Связанная ячейка 4" xfId="124"/>
    <cellStyle name="Связанная ячейка 5" xfId="166"/>
    <cellStyle name="Текст предупреждения 2" xfId="41"/>
    <cellStyle name="Текст предупреждения 3" xfId="84"/>
    <cellStyle name="Текст предупреждения 4" xfId="125"/>
    <cellStyle name="Текст предупреждения 5" xfId="167"/>
    <cellStyle name="Хороший 2" xfId="42"/>
    <cellStyle name="Хороший 3" xfId="85"/>
    <cellStyle name="Хороший 4" xfId="126"/>
    <cellStyle name="Хороший 5" xfId="16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1"/>
  <sheetViews>
    <sheetView tabSelected="1" topLeftCell="A127" zoomScaleNormal="100" workbookViewId="0">
      <selection activeCell="F132" sqref="F132"/>
    </sheetView>
  </sheetViews>
  <sheetFormatPr defaultRowHeight="17.25"/>
  <cols>
    <col min="1" max="1" width="5.42578125" style="1" customWidth="1"/>
    <col min="2" max="2" width="57.42578125" style="1" customWidth="1"/>
    <col min="3" max="4" width="9.140625" style="1"/>
    <col min="5" max="5" width="9.85546875" style="1" bestFit="1" customWidth="1"/>
    <col min="6" max="6" width="13.5703125" style="1" customWidth="1"/>
    <col min="7" max="7" width="14.42578125" style="75" customWidth="1"/>
    <col min="8" max="16384" width="9.140625" style="1"/>
  </cols>
  <sheetData>
    <row r="1" spans="1:12">
      <c r="B1" s="2"/>
    </row>
    <row r="2" spans="1:12" ht="18" thickBot="1">
      <c r="F2" s="49">
        <v>42494</v>
      </c>
    </row>
    <row r="3" spans="1:12" ht="18" thickBot="1">
      <c r="A3" s="3"/>
      <c r="B3" s="133" t="s">
        <v>43</v>
      </c>
      <c r="C3" s="133"/>
      <c r="D3" s="133"/>
      <c r="E3" s="133"/>
      <c r="F3" s="4"/>
      <c r="H3" s="1" t="s">
        <v>72</v>
      </c>
      <c r="K3" s="1">
        <v>40</v>
      </c>
    </row>
    <row r="4" spans="1:12" ht="18" thickBot="1">
      <c r="A4" s="5">
        <v>1</v>
      </c>
      <c r="B4" s="50" t="s">
        <v>71</v>
      </c>
      <c r="C4" s="60"/>
      <c r="D4" s="60"/>
      <c r="E4" s="61"/>
      <c r="F4" s="54"/>
      <c r="H4" s="1" t="s">
        <v>78</v>
      </c>
      <c r="K4" s="1">
        <v>9.5</v>
      </c>
    </row>
    <row r="5" spans="1:12" ht="18" thickBot="1">
      <c r="A5" s="5">
        <v>2</v>
      </c>
      <c r="B5" s="6" t="s">
        <v>86</v>
      </c>
      <c r="C5" s="7"/>
      <c r="D5" s="7"/>
      <c r="E5" s="51"/>
      <c r="F5" s="55"/>
      <c r="H5" s="1" t="s">
        <v>73</v>
      </c>
      <c r="K5" s="1">
        <v>100</v>
      </c>
      <c r="L5" s="1" t="s">
        <v>2</v>
      </c>
    </row>
    <row r="6" spans="1:12" ht="18" thickBot="1">
      <c r="A6" s="5">
        <v>3</v>
      </c>
      <c r="B6" s="9" t="s">
        <v>99</v>
      </c>
      <c r="C6" s="10" t="s">
        <v>0</v>
      </c>
      <c r="D6" s="11">
        <f>(K5*K6)/30*0.95</f>
        <v>7.1883333333333326</v>
      </c>
      <c r="E6" s="52"/>
      <c r="F6" s="56">
        <f>D6*E6</f>
        <v>0</v>
      </c>
      <c r="H6" s="1" t="s">
        <v>74</v>
      </c>
      <c r="K6" s="1">
        <v>2.27</v>
      </c>
    </row>
    <row r="7" spans="1:12" ht="18" thickBot="1">
      <c r="A7" s="5">
        <v>4</v>
      </c>
      <c r="B7" s="9" t="s">
        <v>115</v>
      </c>
      <c r="C7" s="10" t="s">
        <v>1</v>
      </c>
      <c r="D7" s="10">
        <f>110*2.27*0.05</f>
        <v>12.484999999999999</v>
      </c>
      <c r="E7" s="52"/>
      <c r="F7" s="56">
        <f t="shared" ref="F7:F9" si="0">D7*E7</f>
        <v>0</v>
      </c>
      <c r="H7" s="1" t="s">
        <v>72</v>
      </c>
      <c r="K7" s="1">
        <v>40</v>
      </c>
    </row>
    <row r="8" spans="1:12" ht="18" thickBot="1">
      <c r="A8" s="5">
        <v>5</v>
      </c>
      <c r="B8" s="9" t="s">
        <v>100</v>
      </c>
      <c r="C8" s="10" t="s">
        <v>1</v>
      </c>
      <c r="D8" s="10">
        <f>110*2.27*0.7</f>
        <v>174.79</v>
      </c>
      <c r="E8" s="52"/>
      <c r="F8" s="56">
        <f>D8/10*E8</f>
        <v>0</v>
      </c>
      <c r="H8" s="1" t="s">
        <v>75</v>
      </c>
      <c r="K8" s="1">
        <v>1</v>
      </c>
    </row>
    <row r="9" spans="1:12" ht="18" thickBot="1">
      <c r="A9" s="5">
        <v>6</v>
      </c>
      <c r="B9" s="9" t="s">
        <v>101</v>
      </c>
      <c r="C9" s="10" t="s">
        <v>2</v>
      </c>
      <c r="D9" s="11">
        <f>10.5*10.5</f>
        <v>110.25</v>
      </c>
      <c r="E9" s="52"/>
      <c r="F9" s="56">
        <f t="shared" si="0"/>
        <v>0</v>
      </c>
    </row>
    <row r="10" spans="1:12" ht="35.25" thickBot="1">
      <c r="A10" s="5">
        <v>7</v>
      </c>
      <c r="B10" s="12" t="s">
        <v>110</v>
      </c>
      <c r="C10" s="10" t="s">
        <v>2</v>
      </c>
      <c r="D10" s="10">
        <f>40*1+9.5*1</f>
        <v>49.5</v>
      </c>
      <c r="E10" s="52"/>
      <c r="F10" s="56">
        <f>D10*E10</f>
        <v>0</v>
      </c>
    </row>
    <row r="11" spans="1:12" ht="18" thickBot="1">
      <c r="A11" s="5">
        <v>8</v>
      </c>
      <c r="B11" s="9" t="s">
        <v>103</v>
      </c>
      <c r="C11" s="10" t="s">
        <v>1</v>
      </c>
      <c r="D11" s="10">
        <f>D10*0.2</f>
        <v>9.9</v>
      </c>
      <c r="E11" s="52"/>
      <c r="F11" s="56">
        <f>D11*E11</f>
        <v>0</v>
      </c>
    </row>
    <row r="12" spans="1:12" ht="18" thickBot="1">
      <c r="A12" s="5">
        <v>9</v>
      </c>
      <c r="B12" s="9" t="s">
        <v>106</v>
      </c>
      <c r="C12" s="10" t="s">
        <v>1</v>
      </c>
      <c r="D12" s="10">
        <f>D11</f>
        <v>9.9</v>
      </c>
      <c r="E12" s="52"/>
      <c r="F12" s="56">
        <f t="shared" ref="F12" si="1">D12*E12</f>
        <v>0</v>
      </c>
    </row>
    <row r="13" spans="1:12" ht="18" thickBot="1">
      <c r="A13" s="5">
        <v>10</v>
      </c>
      <c r="B13" s="9" t="s">
        <v>111</v>
      </c>
      <c r="C13" s="10" t="s">
        <v>1</v>
      </c>
      <c r="D13" s="13">
        <f>(40*0.45*0.02+9.5*0.45*0.02)*2</f>
        <v>0.89100000000000001</v>
      </c>
      <c r="E13" s="52"/>
      <c r="F13" s="56">
        <f t="shared" ref="F13:F24" si="2">D13*E13</f>
        <v>0</v>
      </c>
    </row>
    <row r="14" spans="1:12" ht="18" thickBot="1">
      <c r="A14" s="5">
        <v>11</v>
      </c>
      <c r="B14" s="9" t="s">
        <v>12</v>
      </c>
      <c r="C14" s="10" t="s">
        <v>68</v>
      </c>
      <c r="D14" s="10">
        <v>1</v>
      </c>
      <c r="E14" s="52"/>
      <c r="F14" s="56">
        <f t="shared" si="2"/>
        <v>0</v>
      </c>
    </row>
    <row r="15" spans="1:12" ht="18" thickBot="1">
      <c r="A15" s="5">
        <v>12</v>
      </c>
      <c r="B15" s="9" t="s">
        <v>4</v>
      </c>
      <c r="C15" s="10" t="s">
        <v>5</v>
      </c>
      <c r="D15" s="13">
        <f>D13*50</f>
        <v>44.55</v>
      </c>
      <c r="E15" s="52"/>
      <c r="F15" s="56">
        <f t="shared" si="2"/>
        <v>0</v>
      </c>
    </row>
    <row r="16" spans="1:12" ht="18" thickBot="1">
      <c r="A16" s="5">
        <v>13</v>
      </c>
      <c r="B16" s="9" t="s">
        <v>102</v>
      </c>
      <c r="C16" s="10" t="s">
        <v>2</v>
      </c>
      <c r="D16" s="10">
        <f>D10</f>
        <v>49.5</v>
      </c>
      <c r="E16" s="52"/>
      <c r="F16" s="56">
        <f t="shared" si="2"/>
        <v>0</v>
      </c>
    </row>
    <row r="17" spans="1:6" ht="18" thickBot="1">
      <c r="A17" s="5">
        <v>14</v>
      </c>
      <c r="B17" s="9" t="s">
        <v>6</v>
      </c>
      <c r="C17" s="10" t="s">
        <v>7</v>
      </c>
      <c r="D17" s="10">
        <v>10</v>
      </c>
      <c r="E17" s="52"/>
      <c r="F17" s="56">
        <f t="shared" si="2"/>
        <v>0</v>
      </c>
    </row>
    <row r="18" spans="1:6" ht="18" thickBot="1">
      <c r="A18" s="5">
        <v>15</v>
      </c>
      <c r="B18" s="9" t="s">
        <v>58</v>
      </c>
      <c r="C18" s="10" t="s">
        <v>5</v>
      </c>
      <c r="D18" s="10">
        <v>25</v>
      </c>
      <c r="E18" s="52"/>
      <c r="F18" s="56">
        <f t="shared" si="2"/>
        <v>0</v>
      </c>
    </row>
    <row r="19" spans="1:6" ht="52.5" thickBot="1">
      <c r="A19" s="5">
        <v>16</v>
      </c>
      <c r="B19" s="12" t="s">
        <v>104</v>
      </c>
      <c r="C19" s="10" t="s">
        <v>1</v>
      </c>
      <c r="D19" s="10">
        <f>40*0.8*0.15+9.5*0.8*0.15</f>
        <v>5.9399999999999995</v>
      </c>
      <c r="E19" s="52"/>
      <c r="F19" s="56">
        <f t="shared" si="2"/>
        <v>0</v>
      </c>
    </row>
    <row r="20" spans="1:6" ht="18" thickBot="1">
      <c r="A20" s="5">
        <v>17</v>
      </c>
      <c r="B20" s="9" t="s">
        <v>105</v>
      </c>
      <c r="C20" s="10" t="s">
        <v>1</v>
      </c>
      <c r="D20" s="10">
        <f>D19</f>
        <v>5.9399999999999995</v>
      </c>
      <c r="E20" s="52"/>
      <c r="F20" s="56">
        <f t="shared" si="2"/>
        <v>0</v>
      </c>
    </row>
    <row r="21" spans="1:6" ht="35.25" thickBot="1">
      <c r="A21" s="5">
        <v>18</v>
      </c>
      <c r="B21" s="12" t="s">
        <v>112</v>
      </c>
      <c r="C21" s="10" t="s">
        <v>1</v>
      </c>
      <c r="D21" s="10">
        <f>K7*0.3*0.8+K4*0.3*0.8</f>
        <v>11.880000000000003</v>
      </c>
      <c r="E21" s="52"/>
      <c r="F21" s="56">
        <f t="shared" si="2"/>
        <v>0</v>
      </c>
    </row>
    <row r="22" spans="1:6" ht="18" thickBot="1">
      <c r="A22" s="5">
        <v>19</v>
      </c>
      <c r="B22" s="9" t="s">
        <v>9</v>
      </c>
      <c r="C22" s="10" t="s">
        <v>10</v>
      </c>
      <c r="D22" s="14">
        <f>0.006*(K3+K4)</f>
        <v>0.29699999999999999</v>
      </c>
      <c r="E22" s="52"/>
      <c r="F22" s="56">
        <f t="shared" si="2"/>
        <v>0</v>
      </c>
    </row>
    <row r="23" spans="1:6" ht="18" thickBot="1">
      <c r="A23" s="5">
        <v>20</v>
      </c>
      <c r="B23" s="9" t="s">
        <v>30</v>
      </c>
      <c r="C23" s="10" t="s">
        <v>70</v>
      </c>
      <c r="D23" s="10">
        <v>1</v>
      </c>
      <c r="E23" s="52"/>
      <c r="F23" s="56">
        <f t="shared" si="2"/>
        <v>0</v>
      </c>
    </row>
    <row r="24" spans="1:6" ht="35.25" thickBot="1">
      <c r="A24" s="5">
        <v>21</v>
      </c>
      <c r="B24" s="12" t="s">
        <v>144</v>
      </c>
      <c r="C24" s="10" t="s">
        <v>1</v>
      </c>
      <c r="D24" s="10">
        <f>D21</f>
        <v>11.880000000000003</v>
      </c>
      <c r="E24" s="52"/>
      <c r="F24" s="56">
        <f t="shared" si="2"/>
        <v>0</v>
      </c>
    </row>
    <row r="25" spans="1:6" ht="18" thickBot="1">
      <c r="A25" s="5">
        <v>22</v>
      </c>
      <c r="B25" s="9" t="s">
        <v>145</v>
      </c>
      <c r="C25" s="10" t="s">
        <v>8</v>
      </c>
      <c r="D25" s="10">
        <f>D10*1.2</f>
        <v>59.4</v>
      </c>
      <c r="E25" s="52"/>
      <c r="F25" s="56">
        <f t="shared" ref="F25:F26" si="3">D25*E25</f>
        <v>0</v>
      </c>
    </row>
    <row r="26" spans="1:6" ht="18" thickBot="1">
      <c r="A26" s="5">
        <v>23</v>
      </c>
      <c r="B26" s="9" t="s">
        <v>113</v>
      </c>
      <c r="C26" s="10" t="s">
        <v>8</v>
      </c>
      <c r="D26" s="10">
        <f>D25</f>
        <v>59.4</v>
      </c>
      <c r="E26" s="52"/>
      <c r="F26" s="56">
        <f t="shared" si="3"/>
        <v>0</v>
      </c>
    </row>
    <row r="27" spans="1:6" ht="18" thickBot="1">
      <c r="A27" s="5">
        <v>24</v>
      </c>
      <c r="B27" s="9" t="s">
        <v>79</v>
      </c>
      <c r="C27" s="10" t="s">
        <v>7</v>
      </c>
      <c r="D27" s="11">
        <f>((40+9.5)/2.3)*4</f>
        <v>86.08695652173914</v>
      </c>
      <c r="E27" s="52"/>
      <c r="F27" s="56">
        <f t="shared" ref="F27:F35" si="4">D27*E27</f>
        <v>0</v>
      </c>
    </row>
    <row r="28" spans="1:6" ht="18" thickBot="1">
      <c r="A28" s="5">
        <v>25</v>
      </c>
      <c r="B28" s="9" t="s">
        <v>13</v>
      </c>
      <c r="C28" s="10" t="s">
        <v>69</v>
      </c>
      <c r="D28" s="13">
        <f>4</f>
        <v>4</v>
      </c>
      <c r="E28" s="52"/>
      <c r="F28" s="56">
        <f t="shared" si="4"/>
        <v>0</v>
      </c>
    </row>
    <row r="29" spans="1:6" ht="18" thickBot="1">
      <c r="A29" s="5">
        <v>26</v>
      </c>
      <c r="B29" s="9" t="s">
        <v>14</v>
      </c>
      <c r="C29" s="10" t="s">
        <v>7</v>
      </c>
      <c r="D29" s="11">
        <f>D27</f>
        <v>86.08695652173914</v>
      </c>
      <c r="E29" s="52"/>
      <c r="F29" s="56">
        <f t="shared" si="4"/>
        <v>0</v>
      </c>
    </row>
    <row r="30" spans="1:6" ht="18" thickBot="1">
      <c r="A30" s="5">
        <v>27</v>
      </c>
      <c r="B30" s="9" t="s">
        <v>83</v>
      </c>
      <c r="C30" s="10" t="s">
        <v>1</v>
      </c>
      <c r="D30" s="11">
        <f>D29*0.08</f>
        <v>6.8869565217391315</v>
      </c>
      <c r="E30" s="52"/>
      <c r="F30" s="56">
        <f t="shared" si="4"/>
        <v>0</v>
      </c>
    </row>
    <row r="31" spans="1:6" ht="18" thickBot="1">
      <c r="A31" s="5">
        <v>28</v>
      </c>
      <c r="B31" s="9" t="s">
        <v>16</v>
      </c>
      <c r="C31" s="10" t="s">
        <v>17</v>
      </c>
      <c r="D31" s="13">
        <f>D29/4</f>
        <v>21.521739130434785</v>
      </c>
      <c r="E31" s="52"/>
      <c r="F31" s="56">
        <f t="shared" si="4"/>
        <v>0</v>
      </c>
    </row>
    <row r="32" spans="1:6" ht="18" thickBot="1">
      <c r="A32" s="5">
        <v>29</v>
      </c>
      <c r="B32" s="35" t="s">
        <v>114</v>
      </c>
      <c r="C32" s="25" t="s">
        <v>1</v>
      </c>
      <c r="D32" s="1">
        <f>0.4*((10-1.6)*(10-1.6)-(10-1.6)*0.8)</f>
        <v>25.536000000000001</v>
      </c>
      <c r="E32" s="58"/>
      <c r="F32" s="59">
        <f t="shared" si="4"/>
        <v>0</v>
      </c>
    </row>
    <row r="33" spans="1:6" ht="18" thickBot="1">
      <c r="A33" s="5">
        <v>30</v>
      </c>
      <c r="B33" s="9" t="s">
        <v>116</v>
      </c>
      <c r="C33" s="10" t="s">
        <v>2</v>
      </c>
      <c r="D33" s="10">
        <f>(10-1.6)*(10-1.6)-(10-1.6)*0.8</f>
        <v>63.84</v>
      </c>
      <c r="E33" s="52"/>
      <c r="F33" s="56">
        <f t="shared" si="4"/>
        <v>0</v>
      </c>
    </row>
    <row r="34" spans="1:6" ht="36.75" customHeight="1" thickBot="1">
      <c r="A34" s="5">
        <v>31</v>
      </c>
      <c r="B34" s="12" t="s">
        <v>107</v>
      </c>
      <c r="C34" s="10" t="s">
        <v>2</v>
      </c>
      <c r="D34" s="10">
        <f>(10-1.6)*(10-1.6)-(10-1.6)*0.8</f>
        <v>63.84</v>
      </c>
      <c r="E34" s="52"/>
      <c r="F34" s="56">
        <f t="shared" si="4"/>
        <v>0</v>
      </c>
    </row>
    <row r="35" spans="1:6" ht="18" thickBot="1">
      <c r="A35" s="5">
        <v>32</v>
      </c>
      <c r="B35" s="9" t="s">
        <v>34</v>
      </c>
      <c r="C35" s="10" t="s">
        <v>1</v>
      </c>
      <c r="D35" s="10">
        <f>D34*0.1</f>
        <v>6.3840000000000003</v>
      </c>
      <c r="E35" s="52"/>
      <c r="F35" s="56">
        <f t="shared" si="4"/>
        <v>0</v>
      </c>
    </row>
    <row r="36" spans="1:6" ht="18" thickBot="1">
      <c r="A36" s="5">
        <v>33</v>
      </c>
      <c r="B36" s="9" t="s">
        <v>3</v>
      </c>
      <c r="C36" s="10" t="s">
        <v>1</v>
      </c>
      <c r="D36" s="10">
        <f>D35</f>
        <v>6.3840000000000003</v>
      </c>
      <c r="E36" s="52"/>
      <c r="F36" s="56">
        <f t="shared" ref="F36" si="5">D36*E36</f>
        <v>0</v>
      </c>
    </row>
    <row r="37" spans="1:6" ht="35.25" thickBot="1">
      <c r="A37" s="5">
        <v>34</v>
      </c>
      <c r="B37" s="12" t="s">
        <v>108</v>
      </c>
      <c r="C37" s="10" t="s">
        <v>1</v>
      </c>
      <c r="D37" s="10">
        <f>D34*0.1</f>
        <v>6.3840000000000003</v>
      </c>
      <c r="E37" s="52"/>
      <c r="F37" s="56">
        <f>D37*E37</f>
        <v>0</v>
      </c>
    </row>
    <row r="38" spans="1:6" ht="35.25" thickBot="1">
      <c r="A38" s="5">
        <v>35</v>
      </c>
      <c r="B38" s="12" t="s">
        <v>109</v>
      </c>
      <c r="C38" s="10" t="s">
        <v>1</v>
      </c>
      <c r="D38" s="10">
        <f>D37</f>
        <v>6.3840000000000003</v>
      </c>
      <c r="E38" s="52"/>
      <c r="F38" s="56">
        <f t="shared" ref="F38" si="6">D38*E38</f>
        <v>0</v>
      </c>
    </row>
    <row r="39" spans="1:6" ht="18" thickBot="1">
      <c r="A39" s="5">
        <v>36</v>
      </c>
      <c r="B39" s="9" t="s">
        <v>77</v>
      </c>
      <c r="C39" s="10" t="s">
        <v>2</v>
      </c>
      <c r="D39" s="10">
        <f>D34*1.2</f>
        <v>76.608000000000004</v>
      </c>
      <c r="E39" s="52"/>
      <c r="F39" s="56">
        <f>D39*E39</f>
        <v>0</v>
      </c>
    </row>
    <row r="40" spans="1:6" ht="18" thickBot="1">
      <c r="A40" s="5">
        <v>37</v>
      </c>
      <c r="B40" s="1" t="s">
        <v>117</v>
      </c>
      <c r="C40" s="25" t="s">
        <v>2</v>
      </c>
      <c r="D40" s="1">
        <f>D39</f>
        <v>76.608000000000004</v>
      </c>
      <c r="E40" s="58"/>
      <c r="F40" s="59">
        <f>D40*E40</f>
        <v>0</v>
      </c>
    </row>
    <row r="41" spans="1:6" ht="35.25" thickBot="1">
      <c r="A41" s="5">
        <v>38</v>
      </c>
      <c r="B41" s="12" t="s">
        <v>118</v>
      </c>
      <c r="C41" s="10" t="s">
        <v>1</v>
      </c>
      <c r="D41" s="10">
        <f>(40+9.5)*0.3*0.4</f>
        <v>5.94</v>
      </c>
      <c r="E41" s="52"/>
      <c r="F41" s="56">
        <f>D41*E41</f>
        <v>0</v>
      </c>
    </row>
    <row r="42" spans="1:6" ht="18" thickBot="1">
      <c r="A42" s="5">
        <v>39</v>
      </c>
      <c r="B42" s="9" t="s">
        <v>80</v>
      </c>
      <c r="C42" s="10" t="s">
        <v>10</v>
      </c>
      <c r="D42" s="14">
        <f>0.0067*(K3+K4)</f>
        <v>0.33165</v>
      </c>
      <c r="E42" s="52"/>
      <c r="F42" s="56">
        <f>D42*E42</f>
        <v>0</v>
      </c>
    </row>
    <row r="43" spans="1:6" ht="35.25" thickBot="1">
      <c r="A43" s="5">
        <v>40</v>
      </c>
      <c r="B43" s="12" t="s">
        <v>81</v>
      </c>
      <c r="C43" s="10" t="s">
        <v>1</v>
      </c>
      <c r="D43" s="10">
        <f>D41</f>
        <v>5.94</v>
      </c>
      <c r="E43" s="52"/>
      <c r="F43" s="56">
        <f>D43*E43</f>
        <v>0</v>
      </c>
    </row>
    <row r="44" spans="1:6" ht="18" thickBot="1">
      <c r="A44" s="5">
        <v>41</v>
      </c>
      <c r="B44" s="12" t="s">
        <v>119</v>
      </c>
      <c r="C44" s="10" t="s">
        <v>5</v>
      </c>
      <c r="D44" s="10">
        <f>D45*2.5*1.1</f>
        <v>315.70000000000005</v>
      </c>
      <c r="E44" s="52"/>
      <c r="F44" s="56">
        <f t="shared" ref="F44" si="7">D44*E44</f>
        <v>0</v>
      </c>
    </row>
    <row r="45" spans="1:6" ht="18" thickBot="1">
      <c r="A45" s="5">
        <v>42</v>
      </c>
      <c r="B45" s="12" t="s">
        <v>120</v>
      </c>
      <c r="C45" s="10" t="s">
        <v>2</v>
      </c>
      <c r="D45" s="10">
        <f>40*(2.27+0.6)</f>
        <v>114.80000000000001</v>
      </c>
      <c r="E45" s="52"/>
      <c r="F45" s="56">
        <f>D45*E45</f>
        <v>0</v>
      </c>
    </row>
    <row r="46" spans="1:6" ht="18" thickBot="1">
      <c r="A46" s="5">
        <v>43</v>
      </c>
      <c r="B46" s="12" t="s">
        <v>121</v>
      </c>
      <c r="C46" s="10" t="s">
        <v>2</v>
      </c>
      <c r="D46" s="10">
        <v>76.400000000000006</v>
      </c>
      <c r="E46" s="52"/>
      <c r="F46" s="56">
        <f>D46*E46</f>
        <v>0</v>
      </c>
    </row>
    <row r="47" spans="1:6" ht="18" thickBot="1">
      <c r="A47" s="5">
        <v>44</v>
      </c>
      <c r="B47" s="12" t="s">
        <v>122</v>
      </c>
      <c r="C47" s="10" t="s">
        <v>2</v>
      </c>
      <c r="D47" s="10">
        <v>76.400000000000006</v>
      </c>
      <c r="E47" s="52"/>
      <c r="F47" s="56">
        <f t="shared" ref="F47" si="8">D47*E47</f>
        <v>0</v>
      </c>
    </row>
    <row r="48" spans="1:6" ht="18" thickBot="1">
      <c r="A48" s="5">
        <v>45</v>
      </c>
      <c r="B48" s="9" t="s">
        <v>84</v>
      </c>
      <c r="C48" s="10" t="s">
        <v>1</v>
      </c>
      <c r="D48" s="10">
        <f>D45*0.08</f>
        <v>9.1840000000000011</v>
      </c>
      <c r="E48" s="52"/>
      <c r="F48" s="56">
        <f>D48*E48</f>
        <v>0</v>
      </c>
    </row>
    <row r="49" spans="1:9" ht="18" thickBot="1">
      <c r="A49" s="5">
        <v>46</v>
      </c>
      <c r="B49" s="9" t="s">
        <v>123</v>
      </c>
      <c r="C49" s="10" t="s">
        <v>2</v>
      </c>
      <c r="D49" s="10">
        <f>D45</f>
        <v>114.80000000000001</v>
      </c>
      <c r="E49" s="52"/>
      <c r="F49" s="56">
        <f t="shared" ref="F49" si="9">D49*E49</f>
        <v>0</v>
      </c>
    </row>
    <row r="50" spans="1:9" ht="35.25" thickBot="1">
      <c r="A50" s="5">
        <v>47</v>
      </c>
      <c r="B50" s="12" t="s">
        <v>82</v>
      </c>
      <c r="C50" s="10" t="s">
        <v>68</v>
      </c>
      <c r="D50" s="10">
        <v>2</v>
      </c>
      <c r="E50" s="52"/>
      <c r="F50" s="56">
        <f>D50*E50</f>
        <v>0</v>
      </c>
    </row>
    <row r="51" spans="1:9" ht="35.25" thickBot="1">
      <c r="A51" s="5">
        <v>48</v>
      </c>
      <c r="B51" s="12" t="s">
        <v>124</v>
      </c>
      <c r="C51" s="10" t="s">
        <v>1</v>
      </c>
      <c r="D51" s="10">
        <f>76.4*0.05</f>
        <v>3.8200000000000003</v>
      </c>
      <c r="E51" s="52"/>
      <c r="F51" s="56">
        <f>D51*E51</f>
        <v>0</v>
      </c>
    </row>
    <row r="52" spans="1:9" ht="35.25" thickBot="1">
      <c r="A52" s="5">
        <v>49</v>
      </c>
      <c r="B52" s="12" t="s">
        <v>76</v>
      </c>
      <c r="C52" s="10" t="s">
        <v>2</v>
      </c>
      <c r="D52" s="10">
        <f>D47</f>
        <v>76.400000000000006</v>
      </c>
      <c r="E52" s="52"/>
      <c r="F52" s="56">
        <f>D52*E52</f>
        <v>0</v>
      </c>
    </row>
    <row r="53" spans="1:9" ht="18" thickBot="1">
      <c r="A53" s="5">
        <v>50</v>
      </c>
      <c r="B53" s="9" t="s">
        <v>18</v>
      </c>
      <c r="C53" s="10" t="s">
        <v>1</v>
      </c>
      <c r="D53" s="10">
        <f>D51</f>
        <v>3.8200000000000003</v>
      </c>
      <c r="E53" s="52"/>
      <c r="F53" s="56">
        <f t="shared" ref="F53" si="10">D53*E53</f>
        <v>0</v>
      </c>
    </row>
    <row r="54" spans="1:9" ht="18" thickBot="1">
      <c r="A54" s="5">
        <v>51</v>
      </c>
      <c r="B54" s="71" t="s">
        <v>130</v>
      </c>
      <c r="C54" s="72" t="s">
        <v>126</v>
      </c>
      <c r="D54" s="73">
        <v>8</v>
      </c>
      <c r="E54" s="97"/>
      <c r="F54" s="98"/>
    </row>
    <row r="55" spans="1:9" ht="18" thickBot="1">
      <c r="A55" s="5">
        <v>52</v>
      </c>
      <c r="B55" s="71" t="s">
        <v>131</v>
      </c>
      <c r="C55" s="72" t="s">
        <v>126</v>
      </c>
      <c r="D55" s="73">
        <v>6</v>
      </c>
      <c r="E55" s="97"/>
      <c r="F55" s="98"/>
    </row>
    <row r="56" spans="1:9" ht="18" thickBot="1">
      <c r="A56" s="5">
        <v>53</v>
      </c>
      <c r="B56" s="9" t="s">
        <v>59</v>
      </c>
      <c r="C56" s="10" t="s">
        <v>25</v>
      </c>
      <c r="D56" s="10">
        <v>2</v>
      </c>
      <c r="E56" s="52"/>
      <c r="F56" s="56">
        <f>D56*E56</f>
        <v>0</v>
      </c>
    </row>
    <row r="57" spans="1:9" ht="18" thickBot="1">
      <c r="A57" s="5">
        <v>54</v>
      </c>
      <c r="B57" s="9" t="s">
        <v>60</v>
      </c>
      <c r="C57" s="10" t="s">
        <v>25</v>
      </c>
      <c r="D57" s="10">
        <v>2</v>
      </c>
      <c r="E57" s="52"/>
      <c r="F57" s="56">
        <f>D57*E57</f>
        <v>0</v>
      </c>
    </row>
    <row r="58" spans="1:9" ht="18" thickBot="1">
      <c r="A58" s="5">
        <v>55</v>
      </c>
      <c r="B58" s="9" t="s">
        <v>11</v>
      </c>
      <c r="C58" s="10" t="s">
        <v>68</v>
      </c>
      <c r="D58" s="10">
        <v>3</v>
      </c>
      <c r="E58" s="52"/>
      <c r="F58" s="56">
        <f t="shared" ref="F58:F59" si="11">D58*E58</f>
        <v>0</v>
      </c>
    </row>
    <row r="59" spans="1:9" ht="18" thickBot="1">
      <c r="A59" s="5">
        <v>56</v>
      </c>
      <c r="B59" s="9" t="s">
        <v>31</v>
      </c>
      <c r="C59" s="10" t="s">
        <v>25</v>
      </c>
      <c r="D59" s="14">
        <f>D56+D57+D54+D55</f>
        <v>18</v>
      </c>
      <c r="E59" s="52"/>
      <c r="F59" s="56">
        <f t="shared" si="11"/>
        <v>0</v>
      </c>
    </row>
    <row r="60" spans="1:9" ht="18" thickBot="1">
      <c r="A60" s="5">
        <v>57</v>
      </c>
      <c r="B60" s="9" t="s">
        <v>26</v>
      </c>
      <c r="C60" s="10"/>
      <c r="D60" s="10"/>
      <c r="E60" s="52"/>
      <c r="F60" s="56"/>
    </row>
    <row r="61" spans="1:9" ht="18" thickBot="1">
      <c r="A61" s="5">
        <v>58</v>
      </c>
      <c r="B61" s="9" t="s">
        <v>27</v>
      </c>
      <c r="C61" s="10" t="s">
        <v>10</v>
      </c>
      <c r="D61" s="10">
        <v>0.1</v>
      </c>
      <c r="E61" s="52"/>
      <c r="F61" s="56">
        <f>D61*E61</f>
        <v>0</v>
      </c>
    </row>
    <row r="62" spans="1:9" ht="18" thickBot="1">
      <c r="A62" s="5">
        <v>59</v>
      </c>
      <c r="B62" s="9" t="s">
        <v>28</v>
      </c>
      <c r="C62" s="10" t="s">
        <v>7</v>
      </c>
      <c r="D62" s="10">
        <v>5</v>
      </c>
      <c r="E62" s="52"/>
      <c r="F62" s="56">
        <f>D62*E62</f>
        <v>0</v>
      </c>
      <c r="I62" s="76"/>
    </row>
    <row r="63" spans="1:9" ht="18" thickBot="1">
      <c r="A63" s="5">
        <v>60</v>
      </c>
      <c r="B63" s="9" t="s">
        <v>32</v>
      </c>
      <c r="C63" s="10" t="str">
        <f>C62</f>
        <v>шт</v>
      </c>
      <c r="D63" s="10">
        <f>D62</f>
        <v>5</v>
      </c>
      <c r="E63" s="52"/>
      <c r="F63" s="56">
        <f>D63*E63</f>
        <v>0</v>
      </c>
    </row>
    <row r="64" spans="1:9" ht="18" thickBot="1">
      <c r="A64" s="5">
        <v>61</v>
      </c>
      <c r="B64" s="9" t="s">
        <v>15</v>
      </c>
      <c r="C64" s="10" t="s">
        <v>1</v>
      </c>
      <c r="D64" s="10">
        <v>2</v>
      </c>
      <c r="E64" s="52"/>
      <c r="F64" s="56">
        <f>D64*E64</f>
        <v>0</v>
      </c>
    </row>
    <row r="65" spans="1:9" ht="18" thickBot="1">
      <c r="A65" s="5">
        <v>62</v>
      </c>
      <c r="B65" s="9" t="s">
        <v>61</v>
      </c>
      <c r="C65" s="10"/>
      <c r="D65" s="10">
        <v>2</v>
      </c>
      <c r="E65" s="52"/>
      <c r="F65" s="56">
        <f>D65*E65</f>
        <v>0</v>
      </c>
    </row>
    <row r="66" spans="1:9" ht="18" thickBot="1">
      <c r="A66" s="5">
        <v>63</v>
      </c>
      <c r="B66" s="16" t="s">
        <v>22</v>
      </c>
      <c r="C66" s="17" t="s">
        <v>0</v>
      </c>
      <c r="D66" s="17">
        <v>10</v>
      </c>
      <c r="E66" s="53"/>
      <c r="F66" s="99">
        <f>E66*D66</f>
        <v>0</v>
      </c>
    </row>
    <row r="67" spans="1:9" ht="18" thickBot="1">
      <c r="A67" s="18"/>
      <c r="B67" s="132" t="s">
        <v>49</v>
      </c>
      <c r="C67" s="132"/>
      <c r="D67" s="132"/>
      <c r="E67" s="132"/>
      <c r="F67" s="28">
        <f>SUM(F4:F66)</f>
        <v>0</v>
      </c>
      <c r="I67" s="77"/>
    </row>
    <row r="68" spans="1:9" ht="18" thickBot="1">
      <c r="A68" s="3"/>
      <c r="B68" s="21"/>
      <c r="C68" s="21"/>
      <c r="D68" s="21"/>
      <c r="E68" s="96" t="s">
        <v>146</v>
      </c>
      <c r="F68" s="85">
        <f>F67/24</f>
        <v>0</v>
      </c>
    </row>
    <row r="69" spans="1:9" ht="18" thickBot="1">
      <c r="A69" s="3"/>
      <c r="B69" s="21"/>
      <c r="C69" s="21"/>
      <c r="D69" s="21"/>
      <c r="E69" s="84"/>
      <c r="F69" s="85"/>
    </row>
    <row r="70" spans="1:9" ht="18" thickBot="1">
      <c r="A70" s="3"/>
      <c r="B70" s="134" t="s">
        <v>44</v>
      </c>
      <c r="C70" s="134"/>
      <c r="D70" s="134"/>
      <c r="E70" s="134"/>
      <c r="F70" s="34"/>
    </row>
    <row r="71" spans="1:9">
      <c r="A71" s="5"/>
      <c r="B71" s="24" t="s">
        <v>19</v>
      </c>
      <c r="C71" s="7"/>
      <c r="D71" s="7"/>
      <c r="E71" s="51"/>
      <c r="F71" s="104"/>
    </row>
    <row r="72" spans="1:9">
      <c r="A72" s="8">
        <v>1</v>
      </c>
      <c r="B72" s="9" t="s">
        <v>29</v>
      </c>
      <c r="C72" s="10" t="s">
        <v>1</v>
      </c>
      <c r="D72" s="10">
        <f>(K3+K4)*3*0.38-18.45*0.38-6*0.38-(0.9+0.9)*2.1*0.38</f>
        <v>45.702599999999997</v>
      </c>
      <c r="E72" s="52"/>
      <c r="F72" s="56">
        <f t="shared" ref="F72:F83" si="12">E72*D72</f>
        <v>0</v>
      </c>
    </row>
    <row r="73" spans="1:9">
      <c r="A73" s="8">
        <v>2</v>
      </c>
      <c r="B73" s="9" t="s">
        <v>21</v>
      </c>
      <c r="C73" s="10" t="s">
        <v>7</v>
      </c>
      <c r="D73" s="10">
        <f>D72*400</f>
        <v>18281.039999999997</v>
      </c>
      <c r="E73" s="52"/>
      <c r="F73" s="56">
        <f>E73*D73</f>
        <v>0</v>
      </c>
    </row>
    <row r="74" spans="1:9">
      <c r="A74" s="8">
        <v>3</v>
      </c>
      <c r="B74" s="9" t="s">
        <v>15</v>
      </c>
      <c r="C74" s="10" t="s">
        <v>1</v>
      </c>
      <c r="D74" s="10">
        <f>D72*0.3</f>
        <v>13.710779999999998</v>
      </c>
      <c r="E74" s="52"/>
      <c r="F74" s="56">
        <f t="shared" si="12"/>
        <v>0</v>
      </c>
    </row>
    <row r="75" spans="1:9">
      <c r="A75" s="8">
        <v>4</v>
      </c>
      <c r="B75" s="9" t="s">
        <v>33</v>
      </c>
      <c r="C75" s="25" t="s">
        <v>2</v>
      </c>
      <c r="D75" s="10">
        <f>31.5*3-1.6*3-1.2*3*2-0.9*2.1*3-0.9*3-1.2*3</f>
        <v>70.53</v>
      </c>
      <c r="E75" s="52"/>
      <c r="F75" s="56">
        <f t="shared" si="12"/>
        <v>0</v>
      </c>
    </row>
    <row r="76" spans="1:9">
      <c r="A76" s="8">
        <v>5</v>
      </c>
      <c r="B76" s="9" t="s">
        <v>21</v>
      </c>
      <c r="C76" s="10" t="s">
        <v>7</v>
      </c>
      <c r="D76" s="10">
        <f>D75*52</f>
        <v>3667.56</v>
      </c>
      <c r="E76" s="52"/>
      <c r="F76" s="56">
        <f t="shared" si="12"/>
        <v>0</v>
      </c>
    </row>
    <row r="77" spans="1:9">
      <c r="A77" s="8">
        <v>6</v>
      </c>
      <c r="B77" s="9" t="s">
        <v>15</v>
      </c>
      <c r="C77" s="10" t="s">
        <v>1</v>
      </c>
      <c r="D77" s="10">
        <f>D75*0.08</f>
        <v>5.6424000000000003</v>
      </c>
      <c r="E77" s="52"/>
      <c r="F77" s="56">
        <f t="shared" si="12"/>
        <v>0</v>
      </c>
    </row>
    <row r="78" spans="1:9">
      <c r="A78" s="8">
        <v>7</v>
      </c>
      <c r="B78" s="62" t="s">
        <v>125</v>
      </c>
      <c r="C78" s="70" t="s">
        <v>126</v>
      </c>
      <c r="D78" s="63">
        <v>1</v>
      </c>
      <c r="E78" s="100"/>
      <c r="F78" s="105"/>
    </row>
    <row r="79" spans="1:9">
      <c r="A79" s="8">
        <v>8</v>
      </c>
      <c r="B79" s="62" t="s">
        <v>127</v>
      </c>
      <c r="C79" s="70" t="s">
        <v>126</v>
      </c>
      <c r="D79" s="63">
        <v>27</v>
      </c>
      <c r="E79" s="100"/>
      <c r="F79" s="105"/>
    </row>
    <row r="80" spans="1:9">
      <c r="A80" s="8">
        <v>9</v>
      </c>
      <c r="B80" s="62" t="s">
        <v>128</v>
      </c>
      <c r="C80" s="70" t="s">
        <v>126</v>
      </c>
      <c r="D80" s="63">
        <v>9</v>
      </c>
      <c r="E80" s="100"/>
      <c r="F80" s="105"/>
    </row>
    <row r="81" spans="1:14">
      <c r="A81" s="8">
        <v>10</v>
      </c>
      <c r="B81" s="62" t="s">
        <v>129</v>
      </c>
      <c r="C81" s="70" t="s">
        <v>126</v>
      </c>
      <c r="D81" s="63">
        <v>8</v>
      </c>
      <c r="E81" s="100"/>
      <c r="F81" s="105"/>
    </row>
    <row r="82" spans="1:14">
      <c r="A82" s="8">
        <v>11</v>
      </c>
      <c r="B82" s="9" t="s">
        <v>88</v>
      </c>
      <c r="C82" s="10" t="s">
        <v>7</v>
      </c>
      <c r="D82" s="10">
        <v>2</v>
      </c>
      <c r="E82" s="52"/>
      <c r="F82" s="56">
        <f t="shared" si="12"/>
        <v>0</v>
      </c>
    </row>
    <row r="83" spans="1:14">
      <c r="A83" s="8">
        <v>12</v>
      </c>
      <c r="B83" s="9" t="s">
        <v>32</v>
      </c>
      <c r="C83" s="10" t="s">
        <v>7</v>
      </c>
      <c r="D83" s="14">
        <f>D78+D79+D80+D81</f>
        <v>45</v>
      </c>
      <c r="E83" s="52"/>
      <c r="F83" s="56">
        <f t="shared" si="12"/>
        <v>0</v>
      </c>
    </row>
    <row r="84" spans="1:14">
      <c r="A84" s="8">
        <v>13</v>
      </c>
      <c r="B84" s="9" t="s">
        <v>87</v>
      </c>
      <c r="C84" s="10" t="s">
        <v>7</v>
      </c>
      <c r="D84" s="10">
        <f>D82</f>
        <v>2</v>
      </c>
      <c r="E84" s="52"/>
      <c r="F84" s="56"/>
    </row>
    <row r="85" spans="1:14">
      <c r="A85" s="8">
        <v>14</v>
      </c>
      <c r="B85" s="64" t="s">
        <v>130</v>
      </c>
      <c r="C85" s="69" t="s">
        <v>126</v>
      </c>
      <c r="D85" s="65">
        <v>8</v>
      </c>
      <c r="E85" s="101"/>
      <c r="F85" s="106"/>
    </row>
    <row r="86" spans="1:14">
      <c r="A86" s="8">
        <v>15</v>
      </c>
      <c r="B86" s="64" t="s">
        <v>131</v>
      </c>
      <c r="C86" s="69" t="s">
        <v>126</v>
      </c>
      <c r="D86" s="65">
        <v>6</v>
      </c>
      <c r="E86" s="101"/>
      <c r="F86" s="106"/>
      <c r="H86" s="78"/>
      <c r="I86" s="78"/>
      <c r="J86" s="78"/>
      <c r="K86" s="78"/>
      <c r="L86" s="78"/>
      <c r="M86" s="78"/>
      <c r="N86" s="78"/>
    </row>
    <row r="87" spans="1:14">
      <c r="A87" s="8">
        <v>16</v>
      </c>
      <c r="B87" s="9" t="s">
        <v>62</v>
      </c>
      <c r="C87" s="10" t="s">
        <v>25</v>
      </c>
      <c r="D87" s="10">
        <f>D56</f>
        <v>2</v>
      </c>
      <c r="E87" s="52"/>
      <c r="F87" s="56">
        <f>D87*E87</f>
        <v>0</v>
      </c>
      <c r="H87" s="78"/>
      <c r="I87" s="78"/>
      <c r="J87" s="78"/>
      <c r="K87" s="78"/>
      <c r="L87" s="78"/>
      <c r="M87" s="78"/>
      <c r="N87" s="78"/>
    </row>
    <row r="88" spans="1:14">
      <c r="A88" s="8">
        <v>17</v>
      </c>
      <c r="B88" s="9" t="s">
        <v>132</v>
      </c>
      <c r="C88" s="10" t="s">
        <v>25</v>
      </c>
      <c r="D88" s="10">
        <f>D57</f>
        <v>2</v>
      </c>
      <c r="E88" s="52"/>
      <c r="F88" s="56">
        <f>D88*E88</f>
        <v>0</v>
      </c>
      <c r="H88" s="78"/>
      <c r="I88" s="78"/>
      <c r="J88" s="78"/>
      <c r="K88" s="78"/>
      <c r="L88" s="78"/>
      <c r="M88" s="78"/>
      <c r="N88" s="78"/>
    </row>
    <row r="89" spans="1:14">
      <c r="A89" s="8">
        <v>18</v>
      </c>
      <c r="B89" s="9" t="s">
        <v>11</v>
      </c>
      <c r="C89" s="10" t="s">
        <v>68</v>
      </c>
      <c r="D89" s="10">
        <v>3</v>
      </c>
      <c r="E89" s="52"/>
      <c r="F89" s="56">
        <f t="shared" ref="F89:F90" si="13">D89*E89</f>
        <v>0</v>
      </c>
      <c r="H89" s="78"/>
      <c r="I89" s="79"/>
      <c r="J89" s="80"/>
      <c r="K89" s="80"/>
      <c r="L89" s="80"/>
      <c r="M89" s="80"/>
      <c r="N89" s="78"/>
    </row>
    <row r="90" spans="1:14">
      <c r="A90" s="8">
        <v>19</v>
      </c>
      <c r="B90" s="9" t="s">
        <v>31</v>
      </c>
      <c r="C90" s="10" t="s">
        <v>25</v>
      </c>
      <c r="D90" s="10">
        <f>D85+D86+D87+D88</f>
        <v>18</v>
      </c>
      <c r="E90" s="52"/>
      <c r="F90" s="56">
        <f t="shared" si="13"/>
        <v>0</v>
      </c>
    </row>
    <row r="91" spans="1:14">
      <c r="A91" s="8">
        <v>20</v>
      </c>
      <c r="B91" s="9" t="s">
        <v>15</v>
      </c>
      <c r="C91" s="10" t="s">
        <v>1</v>
      </c>
      <c r="D91" s="10">
        <v>2</v>
      </c>
      <c r="E91" s="52"/>
      <c r="F91" s="56">
        <f>D91*E91</f>
        <v>0</v>
      </c>
    </row>
    <row r="92" spans="1:14">
      <c r="A92" s="8">
        <v>21</v>
      </c>
      <c r="B92" s="9" t="s">
        <v>22</v>
      </c>
      <c r="C92" s="10" t="s">
        <v>0</v>
      </c>
      <c r="D92" s="10">
        <f>20</f>
        <v>20</v>
      </c>
      <c r="E92" s="52"/>
      <c r="F92" s="56">
        <f>D92*E92</f>
        <v>0</v>
      </c>
    </row>
    <row r="93" spans="1:14" ht="18" thickBot="1">
      <c r="A93" s="8">
        <v>22</v>
      </c>
      <c r="B93" s="16" t="s">
        <v>24</v>
      </c>
      <c r="C93" s="17"/>
      <c r="D93" s="17"/>
      <c r="E93" s="53"/>
      <c r="F93" s="57"/>
    </row>
    <row r="94" spans="1:14" ht="18" thickBot="1">
      <c r="A94" s="26"/>
      <c r="B94" s="130" t="s">
        <v>41</v>
      </c>
      <c r="C94" s="130"/>
      <c r="D94" s="130"/>
      <c r="E94" s="130"/>
      <c r="F94" s="74">
        <f>F72+F73+F74+F75+F76+F77+F78+F79+F80+F81+F82+F83+F84+F85+F86+F87+F88+F89+F90+F91+F92+F93</f>
        <v>0</v>
      </c>
    </row>
    <row r="95" spans="1:14">
      <c r="A95" s="5"/>
      <c r="B95" s="86" t="s">
        <v>23</v>
      </c>
      <c r="C95" s="87"/>
      <c r="D95" s="87"/>
      <c r="E95" s="102"/>
      <c r="F95" s="104"/>
    </row>
    <row r="96" spans="1:14">
      <c r="A96" s="8">
        <v>1</v>
      </c>
      <c r="B96" s="9" t="s">
        <v>29</v>
      </c>
      <c r="C96" s="10" t="s">
        <v>1</v>
      </c>
      <c r="D96" s="10">
        <v>36</v>
      </c>
      <c r="E96" s="52"/>
      <c r="F96" s="56">
        <f t="shared" ref="F96:F105" si="14">E96*D96</f>
        <v>0</v>
      </c>
    </row>
    <row r="97" spans="1:7">
      <c r="A97" s="8">
        <v>2</v>
      </c>
      <c r="B97" s="9" t="s">
        <v>21</v>
      </c>
      <c r="C97" s="10" t="s">
        <v>7</v>
      </c>
      <c r="D97" s="10">
        <f>(D96/2.5)*1000</f>
        <v>14400</v>
      </c>
      <c r="E97" s="52"/>
      <c r="F97" s="56">
        <f t="shared" si="14"/>
        <v>0</v>
      </c>
    </row>
    <row r="98" spans="1:7">
      <c r="A98" s="8">
        <v>3</v>
      </c>
      <c r="B98" s="9" t="s">
        <v>15</v>
      </c>
      <c r="C98" s="10" t="s">
        <v>1</v>
      </c>
      <c r="D98" s="10">
        <f>D96*0.3</f>
        <v>10.799999999999999</v>
      </c>
      <c r="E98" s="52"/>
      <c r="F98" s="56">
        <f t="shared" si="14"/>
        <v>0</v>
      </c>
    </row>
    <row r="99" spans="1:7">
      <c r="A99" s="8">
        <v>4</v>
      </c>
      <c r="B99" s="9" t="s">
        <v>33</v>
      </c>
      <c r="C99" s="10" t="s">
        <v>2</v>
      </c>
      <c r="D99" s="10">
        <v>90</v>
      </c>
      <c r="E99" s="52"/>
      <c r="F99" s="56">
        <f t="shared" si="14"/>
        <v>0</v>
      </c>
    </row>
    <row r="100" spans="1:7">
      <c r="A100" s="8">
        <v>5</v>
      </c>
      <c r="B100" s="9" t="s">
        <v>21</v>
      </c>
      <c r="C100" s="10" t="s">
        <v>7</v>
      </c>
      <c r="D100" s="10">
        <f>D99*52</f>
        <v>4680</v>
      </c>
      <c r="E100" s="52"/>
      <c r="F100" s="56">
        <f t="shared" si="14"/>
        <v>0</v>
      </c>
    </row>
    <row r="101" spans="1:7">
      <c r="A101" s="8">
        <v>6</v>
      </c>
      <c r="B101" s="9" t="s">
        <v>15</v>
      </c>
      <c r="C101" s="10" t="s">
        <v>1</v>
      </c>
      <c r="D101" s="10">
        <f>D99*0.08</f>
        <v>7.2</v>
      </c>
      <c r="E101" s="52"/>
      <c r="F101" s="56">
        <f t="shared" si="14"/>
        <v>0</v>
      </c>
    </row>
    <row r="102" spans="1:7">
      <c r="A102" s="8">
        <v>7</v>
      </c>
      <c r="B102" s="66" t="s">
        <v>127</v>
      </c>
      <c r="C102" s="68" t="s">
        <v>126</v>
      </c>
      <c r="D102" s="67">
        <v>6</v>
      </c>
      <c r="E102" s="103"/>
      <c r="F102" s="107"/>
    </row>
    <row r="103" spans="1:7">
      <c r="A103" s="8">
        <v>8</v>
      </c>
      <c r="B103" s="66" t="s">
        <v>128</v>
      </c>
      <c r="C103" s="68" t="s">
        <v>126</v>
      </c>
      <c r="D103" s="67">
        <v>6</v>
      </c>
      <c r="E103" s="103"/>
      <c r="F103" s="107"/>
    </row>
    <row r="104" spans="1:7">
      <c r="A104" s="8">
        <v>9</v>
      </c>
      <c r="B104" s="66" t="s">
        <v>129</v>
      </c>
      <c r="C104" s="68" t="s">
        <v>126</v>
      </c>
      <c r="D104" s="67">
        <v>4</v>
      </c>
      <c r="E104" s="103"/>
      <c r="F104" s="107"/>
    </row>
    <row r="105" spans="1:7">
      <c r="A105" s="8">
        <v>10</v>
      </c>
      <c r="B105" s="9" t="s">
        <v>32</v>
      </c>
      <c r="C105" s="10" t="s">
        <v>7</v>
      </c>
      <c r="D105" s="14">
        <f>SUM(D102:D104)</f>
        <v>16</v>
      </c>
      <c r="E105" s="52"/>
      <c r="F105" s="56">
        <f t="shared" si="14"/>
        <v>0</v>
      </c>
    </row>
    <row r="106" spans="1:7">
      <c r="A106" s="8">
        <v>11</v>
      </c>
      <c r="B106" s="9" t="s">
        <v>11</v>
      </c>
      <c r="C106" s="10" t="s">
        <v>68</v>
      </c>
      <c r="D106" s="10">
        <v>1</v>
      </c>
      <c r="E106" s="52"/>
      <c r="F106" s="56">
        <f t="shared" ref="F106" si="15">D106*E106</f>
        <v>0</v>
      </c>
    </row>
    <row r="107" spans="1:7">
      <c r="A107" s="8">
        <v>12</v>
      </c>
      <c r="B107" s="9" t="s">
        <v>15</v>
      </c>
      <c r="C107" s="10" t="s">
        <v>1</v>
      </c>
      <c r="D107" s="10">
        <v>1</v>
      </c>
      <c r="E107" s="52"/>
      <c r="F107" s="56">
        <f>D107*E107</f>
        <v>0</v>
      </c>
      <c r="G107" s="81"/>
    </row>
    <row r="108" spans="1:7">
      <c r="A108" s="8">
        <v>13</v>
      </c>
      <c r="B108" s="9" t="s">
        <v>22</v>
      </c>
      <c r="C108" s="10" t="s">
        <v>0</v>
      </c>
      <c r="D108" s="10">
        <v>10</v>
      </c>
      <c r="E108" s="52"/>
      <c r="F108" s="56">
        <f>D108*E108</f>
        <v>0</v>
      </c>
      <c r="G108" s="81"/>
    </row>
    <row r="109" spans="1:7" ht="18" thickBot="1">
      <c r="A109" s="8">
        <v>14</v>
      </c>
      <c r="B109" s="16" t="s">
        <v>24</v>
      </c>
      <c r="C109" s="17"/>
      <c r="D109" s="17"/>
      <c r="E109" s="53"/>
      <c r="F109" s="99"/>
      <c r="G109" s="81"/>
    </row>
    <row r="110" spans="1:7" ht="18" thickBot="1">
      <c r="A110" s="26"/>
      <c r="B110" s="130" t="s">
        <v>42</v>
      </c>
      <c r="C110" s="130"/>
      <c r="D110" s="130"/>
      <c r="E110" s="135"/>
      <c r="F110" s="74">
        <f>F96+F97+F98+F99+F100+F101+F102+F103+F104+F105+F106+F107+F108+F109</f>
        <v>0</v>
      </c>
      <c r="G110" s="81"/>
    </row>
    <row r="111" spans="1:7" ht="18" thickBot="1">
      <c r="A111" s="3"/>
      <c r="B111" s="130" t="s">
        <v>63</v>
      </c>
      <c r="C111" s="130"/>
      <c r="D111" s="130"/>
      <c r="E111" s="130"/>
      <c r="F111" s="30">
        <f>F94+F110</f>
        <v>0</v>
      </c>
      <c r="G111" s="81"/>
    </row>
    <row r="112" spans="1:7" ht="18" thickBot="1">
      <c r="A112" s="3"/>
      <c r="B112" s="31"/>
      <c r="C112" s="31"/>
      <c r="D112" s="31"/>
      <c r="E112" s="31" t="s">
        <v>146</v>
      </c>
      <c r="F112" s="30">
        <f>F111/24</f>
        <v>0</v>
      </c>
      <c r="G112" s="81"/>
    </row>
    <row r="113" spans="1:7" ht="18" thickBot="1">
      <c r="A113" s="3"/>
      <c r="B113" s="31"/>
      <c r="C113" s="31"/>
      <c r="D113" s="31"/>
      <c r="E113" s="31"/>
      <c r="F113" s="30"/>
      <c r="G113" s="81"/>
    </row>
    <row r="114" spans="1:7" ht="18" thickBot="1">
      <c r="A114" s="3"/>
      <c r="B114" s="134" t="s">
        <v>45</v>
      </c>
      <c r="C114" s="134"/>
      <c r="D114" s="134"/>
      <c r="E114" s="134"/>
      <c r="F114" s="30"/>
      <c r="G114" s="81"/>
    </row>
    <row r="115" spans="1:7" ht="18" thickBot="1">
      <c r="A115" s="5">
        <v>1</v>
      </c>
      <c r="B115" s="88" t="s">
        <v>148</v>
      </c>
      <c r="C115" s="87" t="s">
        <v>20</v>
      </c>
      <c r="D115" s="87">
        <v>188</v>
      </c>
      <c r="E115" s="102"/>
      <c r="F115" s="104">
        <f>E116+E117+E118+E119+E120+E121+E122+E123</f>
        <v>0</v>
      </c>
      <c r="G115" s="81" t="s">
        <v>149</v>
      </c>
    </row>
    <row r="116" spans="1:7" ht="18" thickBot="1">
      <c r="A116" s="5">
        <v>2</v>
      </c>
      <c r="B116" s="89" t="s">
        <v>154</v>
      </c>
      <c r="C116" s="7"/>
      <c r="D116" s="7"/>
      <c r="E116" s="51"/>
      <c r="F116" s="55"/>
      <c r="G116" s="81"/>
    </row>
    <row r="117" spans="1:7" ht="18" thickBot="1">
      <c r="A117" s="5">
        <v>3</v>
      </c>
      <c r="B117" s="89" t="s">
        <v>151</v>
      </c>
      <c r="C117" s="7"/>
      <c r="D117" s="7"/>
      <c r="E117" s="51"/>
      <c r="F117" s="55"/>
      <c r="G117" s="81"/>
    </row>
    <row r="118" spans="1:7" ht="18" thickBot="1">
      <c r="A118" s="5">
        <v>4</v>
      </c>
      <c r="B118" s="89" t="s">
        <v>152</v>
      </c>
      <c r="C118" s="7"/>
      <c r="D118" s="7"/>
      <c r="E118" s="51"/>
      <c r="F118" s="55"/>
      <c r="G118" s="81"/>
    </row>
    <row r="119" spans="1:7" ht="18" thickBot="1">
      <c r="A119" s="5">
        <v>5</v>
      </c>
      <c r="B119" s="89" t="s">
        <v>153</v>
      </c>
      <c r="C119" s="7" t="s">
        <v>1</v>
      </c>
      <c r="D119" s="7">
        <v>8.5</v>
      </c>
      <c r="E119" s="51"/>
      <c r="F119" s="55"/>
      <c r="G119" s="81"/>
    </row>
    <row r="120" spans="1:7" ht="18" thickBot="1">
      <c r="A120" s="5">
        <v>6</v>
      </c>
      <c r="B120" s="89" t="s">
        <v>91</v>
      </c>
      <c r="C120" s="7" t="s">
        <v>2</v>
      </c>
      <c r="D120" s="7">
        <v>188</v>
      </c>
      <c r="E120" s="51"/>
      <c r="F120" s="55"/>
      <c r="G120" s="81"/>
    </row>
    <row r="121" spans="1:7" ht="18" thickBot="1">
      <c r="A121" s="5">
        <v>7</v>
      </c>
      <c r="B121" s="89" t="s">
        <v>147</v>
      </c>
      <c r="C121" s="7" t="s">
        <v>150</v>
      </c>
      <c r="D121" s="7">
        <v>50</v>
      </c>
      <c r="E121" s="51"/>
      <c r="F121" s="55"/>
      <c r="G121" s="81"/>
    </row>
    <row r="122" spans="1:7" ht="18" thickBot="1">
      <c r="A122" s="5">
        <v>8</v>
      </c>
      <c r="B122" s="89" t="s">
        <v>90</v>
      </c>
      <c r="C122" s="7" t="s">
        <v>8</v>
      </c>
      <c r="D122" s="7">
        <v>40</v>
      </c>
      <c r="E122" s="51"/>
      <c r="F122" s="55"/>
      <c r="G122" s="81"/>
    </row>
    <row r="123" spans="1:7" ht="18" thickBot="1">
      <c r="A123" s="5">
        <v>9</v>
      </c>
      <c r="B123" s="90" t="s">
        <v>89</v>
      </c>
      <c r="C123" s="91"/>
      <c r="D123" s="91"/>
      <c r="E123" s="108"/>
      <c r="F123" s="109"/>
      <c r="G123" s="81"/>
    </row>
    <row r="124" spans="1:7" ht="18" thickBot="1">
      <c r="A124" s="5">
        <v>10</v>
      </c>
      <c r="B124" s="6" t="s">
        <v>57</v>
      </c>
      <c r="C124" s="7" t="s">
        <v>20</v>
      </c>
      <c r="D124" s="7">
        <f>18.49+2.1</f>
        <v>20.59</v>
      </c>
      <c r="E124" s="51"/>
      <c r="F124" s="55">
        <f>D124*E124</f>
        <v>0</v>
      </c>
      <c r="G124" s="81"/>
    </row>
    <row r="125" spans="1:7" ht="18" thickBot="1">
      <c r="A125" s="5">
        <v>11</v>
      </c>
      <c r="B125" s="9" t="s">
        <v>35</v>
      </c>
      <c r="C125" s="10"/>
      <c r="D125" s="10">
        <v>1</v>
      </c>
      <c r="E125" s="52"/>
      <c r="F125" s="55">
        <f t="shared" ref="F125:F130" si="16">D125*E125</f>
        <v>0</v>
      </c>
      <c r="G125" s="81"/>
    </row>
    <row r="126" spans="1:7" ht="18" thickBot="1">
      <c r="A126" s="5">
        <v>12</v>
      </c>
      <c r="B126" s="9" t="s">
        <v>37</v>
      </c>
      <c r="C126" s="10" t="s">
        <v>20</v>
      </c>
      <c r="D126" s="10">
        <v>164</v>
      </c>
      <c r="E126" s="52"/>
      <c r="F126" s="55">
        <f t="shared" si="16"/>
        <v>0</v>
      </c>
      <c r="G126" s="81"/>
    </row>
    <row r="127" spans="1:7" ht="18" thickBot="1">
      <c r="A127" s="5">
        <v>13</v>
      </c>
      <c r="B127" s="9" t="s">
        <v>38</v>
      </c>
      <c r="C127" s="10" t="s">
        <v>20</v>
      </c>
      <c r="D127" s="10">
        <v>416</v>
      </c>
      <c r="E127" s="52"/>
      <c r="F127" s="55">
        <f t="shared" si="16"/>
        <v>0</v>
      </c>
      <c r="G127" s="81"/>
    </row>
    <row r="128" spans="1:7" ht="18" thickBot="1">
      <c r="A128" s="5">
        <v>14</v>
      </c>
      <c r="B128" s="9" t="s">
        <v>133</v>
      </c>
      <c r="C128" s="10"/>
      <c r="D128" s="10">
        <f>76.2</f>
        <v>76.2</v>
      </c>
      <c r="E128" s="52"/>
      <c r="F128" s="55">
        <f t="shared" si="16"/>
        <v>0</v>
      </c>
      <c r="G128" s="81"/>
    </row>
    <row r="129" spans="1:13" ht="18" thickBot="1">
      <c r="A129" s="5">
        <v>15</v>
      </c>
      <c r="B129" s="9" t="s">
        <v>134</v>
      </c>
      <c r="C129" s="10" t="s">
        <v>36</v>
      </c>
      <c r="D129" s="10">
        <f>46.34*1.3</f>
        <v>60.242000000000004</v>
      </c>
      <c r="E129" s="52"/>
      <c r="F129" s="55">
        <f t="shared" si="16"/>
        <v>0</v>
      </c>
      <c r="G129" s="81"/>
    </row>
    <row r="130" spans="1:13" ht="18" thickBot="1">
      <c r="A130" s="5">
        <v>16</v>
      </c>
      <c r="B130" s="16" t="s">
        <v>56</v>
      </c>
      <c r="C130" s="17" t="s">
        <v>36</v>
      </c>
      <c r="D130" s="17">
        <v>200</v>
      </c>
      <c r="E130" s="53"/>
      <c r="F130" s="109">
        <f t="shared" si="16"/>
        <v>0</v>
      </c>
      <c r="G130" s="81"/>
      <c r="M130" s="77"/>
    </row>
    <row r="131" spans="1:13" ht="18" thickBot="1">
      <c r="A131" s="18"/>
      <c r="B131" s="132" t="s">
        <v>64</v>
      </c>
      <c r="C131" s="132"/>
      <c r="D131" s="132"/>
      <c r="E131" s="132"/>
      <c r="F131" s="20">
        <f>SUM(F115:F130)</f>
        <v>0</v>
      </c>
      <c r="G131" s="81"/>
    </row>
    <row r="132" spans="1:13" ht="18" thickBot="1">
      <c r="A132" s="3"/>
      <c r="B132" s="32"/>
      <c r="C132" s="33"/>
      <c r="D132" s="33"/>
      <c r="E132" s="31" t="s">
        <v>146</v>
      </c>
      <c r="F132" s="30">
        <f>F131/24</f>
        <v>0</v>
      </c>
      <c r="G132" s="81"/>
      <c r="I132" s="82"/>
      <c r="J132" s="82"/>
      <c r="K132" s="82"/>
    </row>
    <row r="133" spans="1:13" ht="18" thickBot="1">
      <c r="A133" s="22"/>
      <c r="B133" s="92"/>
      <c r="C133" s="93"/>
      <c r="D133" s="93" t="s">
        <v>158</v>
      </c>
      <c r="E133" s="94"/>
      <c r="F133" s="95">
        <f>F131+F111+F67</f>
        <v>0</v>
      </c>
      <c r="G133" s="81"/>
      <c r="I133" s="82"/>
      <c r="J133" s="82"/>
      <c r="K133" s="82"/>
    </row>
    <row r="134" spans="1:13" ht="18" hidden="1" thickBot="1">
      <c r="A134" s="22"/>
      <c r="B134" s="131" t="s">
        <v>46</v>
      </c>
      <c r="C134" s="131"/>
      <c r="D134" s="131"/>
      <c r="E134" s="131"/>
      <c r="F134" s="23"/>
      <c r="G134" s="81"/>
    </row>
    <row r="135" spans="1:13" ht="18" hidden="1" thickBot="1">
      <c r="A135" s="5">
        <v>1</v>
      </c>
      <c r="B135" s="6" t="s">
        <v>93</v>
      </c>
      <c r="C135" s="7"/>
      <c r="D135" s="7"/>
      <c r="E135" s="51"/>
      <c r="F135" s="104"/>
      <c r="G135" s="81"/>
    </row>
    <row r="136" spans="1:13" ht="18" hidden="1" thickBot="1">
      <c r="A136" s="5">
        <v>2</v>
      </c>
      <c r="B136" s="6" t="s">
        <v>92</v>
      </c>
      <c r="C136" s="7"/>
      <c r="D136" s="7"/>
      <c r="E136" s="51"/>
      <c r="F136" s="55"/>
      <c r="G136" s="81"/>
    </row>
    <row r="137" spans="1:13" ht="18" hidden="1" thickBot="1">
      <c r="A137" s="5">
        <v>3</v>
      </c>
      <c r="B137" s="9" t="s">
        <v>94</v>
      </c>
      <c r="C137" s="10"/>
      <c r="D137" s="10"/>
      <c r="E137" s="52"/>
      <c r="F137" s="56"/>
      <c r="G137" s="81"/>
    </row>
    <row r="138" spans="1:13" ht="18" hidden="1" thickBot="1">
      <c r="A138" s="5">
        <v>4</v>
      </c>
      <c r="B138" s="9" t="s">
        <v>95</v>
      </c>
      <c r="C138" s="10"/>
      <c r="D138" s="10"/>
      <c r="E138" s="52"/>
      <c r="F138" s="56"/>
      <c r="G138" s="81"/>
    </row>
    <row r="139" spans="1:13" ht="18" hidden="1" thickBot="1">
      <c r="A139" s="5">
        <v>5</v>
      </c>
      <c r="B139" s="9" t="s">
        <v>96</v>
      </c>
      <c r="C139" s="10"/>
      <c r="D139" s="10"/>
      <c r="E139" s="52"/>
      <c r="F139" s="56"/>
      <c r="G139" s="81"/>
    </row>
    <row r="140" spans="1:13" ht="18" hidden="1" thickBot="1">
      <c r="A140" s="5">
        <v>6</v>
      </c>
      <c r="B140" s="9" t="s">
        <v>96</v>
      </c>
      <c r="C140" s="10"/>
      <c r="D140" s="10"/>
      <c r="E140" s="52"/>
      <c r="F140" s="56"/>
      <c r="G140" s="81"/>
    </row>
    <row r="141" spans="1:13" ht="18" hidden="1" thickBot="1">
      <c r="A141" s="5">
        <v>7</v>
      </c>
      <c r="B141" s="9" t="s">
        <v>97</v>
      </c>
      <c r="C141" s="10"/>
      <c r="D141" s="10"/>
      <c r="E141" s="52"/>
      <c r="F141" s="56"/>
      <c r="G141" s="81"/>
    </row>
    <row r="142" spans="1:13" ht="18" hidden="1" thickBot="1">
      <c r="A142" s="5">
        <v>8</v>
      </c>
      <c r="B142" s="9" t="s">
        <v>98</v>
      </c>
      <c r="C142" s="10"/>
      <c r="D142" s="10"/>
      <c r="E142" s="52"/>
      <c r="F142" s="56"/>
      <c r="G142" s="81"/>
    </row>
    <row r="143" spans="1:13" ht="18" hidden="1" thickBot="1">
      <c r="A143" s="5">
        <v>9</v>
      </c>
      <c r="B143" s="16" t="s">
        <v>24</v>
      </c>
      <c r="C143" s="17" t="s">
        <v>68</v>
      </c>
      <c r="D143" s="17">
        <v>5</v>
      </c>
      <c r="E143" s="53">
        <v>600</v>
      </c>
      <c r="F143" s="99"/>
      <c r="G143" s="81"/>
    </row>
    <row r="144" spans="1:13" ht="18" hidden="1" thickBot="1">
      <c r="A144" s="18"/>
      <c r="B144" s="132" t="s">
        <v>65</v>
      </c>
      <c r="C144" s="132"/>
      <c r="D144" s="132"/>
      <c r="E144" s="132"/>
      <c r="F144" s="20">
        <f>SUM(F135:F143)</f>
        <v>0</v>
      </c>
      <c r="G144" s="81"/>
    </row>
    <row r="145" spans="1:20" ht="18" hidden="1" thickBot="1">
      <c r="A145" s="3"/>
      <c r="B145" s="32"/>
      <c r="C145" s="33"/>
      <c r="D145" s="33"/>
      <c r="E145" s="31" t="s">
        <v>146</v>
      </c>
      <c r="F145" s="27">
        <f>F144/8</f>
        <v>0</v>
      </c>
      <c r="G145" s="81"/>
    </row>
    <row r="146" spans="1:20" ht="18" hidden="1" thickBot="1">
      <c r="A146" s="22"/>
      <c r="B146" s="92"/>
      <c r="C146" s="93"/>
      <c r="D146" s="93"/>
      <c r="E146" s="94"/>
      <c r="F146" s="110"/>
      <c r="G146" s="81"/>
    </row>
    <row r="147" spans="1:20" ht="18" hidden="1" thickBot="1">
      <c r="A147" s="22"/>
      <c r="B147" s="131" t="s">
        <v>85</v>
      </c>
      <c r="C147" s="131"/>
      <c r="D147" s="131"/>
      <c r="E147" s="131"/>
      <c r="F147" s="23"/>
      <c r="G147" s="81"/>
    </row>
    <row r="148" spans="1:20" ht="18" hidden="1" thickBot="1">
      <c r="A148" s="5">
        <v>1</v>
      </c>
      <c r="B148" s="6" t="s">
        <v>52</v>
      </c>
      <c r="C148" s="7"/>
      <c r="D148" s="7"/>
      <c r="E148" s="51"/>
      <c r="F148" s="104">
        <f>F67+F111+F131+F144</f>
        <v>0</v>
      </c>
      <c r="G148" s="81"/>
    </row>
    <row r="149" spans="1:20" ht="18" hidden="1" thickBot="1">
      <c r="A149" s="5">
        <v>2</v>
      </c>
      <c r="B149" s="9" t="s">
        <v>156</v>
      </c>
      <c r="C149" s="10"/>
      <c r="D149" s="10"/>
      <c r="E149" s="52"/>
      <c r="F149" s="56"/>
      <c r="G149" s="81"/>
    </row>
    <row r="150" spans="1:20" ht="18" hidden="1" thickBot="1">
      <c r="A150" s="18"/>
      <c r="B150" s="132" t="s">
        <v>50</v>
      </c>
      <c r="C150" s="132"/>
      <c r="D150" s="132"/>
      <c r="E150" s="132"/>
      <c r="F150" s="20">
        <f>F148+F149</f>
        <v>0</v>
      </c>
    </row>
    <row r="151" spans="1:20" ht="18" hidden="1" thickBot="1">
      <c r="A151" s="3"/>
      <c r="B151" s="31"/>
      <c r="C151" s="31"/>
      <c r="D151" s="31"/>
      <c r="E151" s="31" t="s">
        <v>146</v>
      </c>
      <c r="F151" s="30">
        <f>F150/8</f>
        <v>0</v>
      </c>
    </row>
    <row r="152" spans="1:20" ht="18" hidden="1" thickBot="1">
      <c r="A152" s="22"/>
      <c r="B152" s="131" t="s">
        <v>47</v>
      </c>
      <c r="C152" s="131"/>
      <c r="D152" s="131"/>
      <c r="E152" s="131"/>
      <c r="F152" s="23"/>
    </row>
    <row r="153" spans="1:20" ht="18" hidden="1" thickBot="1">
      <c r="A153" s="5">
        <v>1</v>
      </c>
      <c r="B153" s="35" t="s">
        <v>53</v>
      </c>
      <c r="C153" s="25" t="s">
        <v>2</v>
      </c>
      <c r="D153" s="25">
        <f>E168</f>
        <v>0</v>
      </c>
      <c r="E153" s="58"/>
      <c r="F153" s="104">
        <f>D153*E153</f>
        <v>0</v>
      </c>
      <c r="G153" s="1"/>
      <c r="M153" s="78"/>
      <c r="N153" s="78"/>
      <c r="O153" s="78"/>
    </row>
    <row r="154" spans="1:20" ht="18" hidden="1" thickBot="1">
      <c r="A154" s="5">
        <v>2</v>
      </c>
      <c r="B154" s="36" t="s">
        <v>155</v>
      </c>
      <c r="C154" s="37" t="s">
        <v>8</v>
      </c>
      <c r="D154" s="37">
        <v>86</v>
      </c>
      <c r="E154" s="111"/>
      <c r="F154" s="56">
        <f>D154*E154</f>
        <v>0</v>
      </c>
      <c r="H154" s="82"/>
      <c r="M154" s="78"/>
      <c r="N154" s="78"/>
      <c r="O154" s="78"/>
    </row>
    <row r="155" spans="1:20" ht="18" hidden="1" thickBot="1">
      <c r="A155" s="5">
        <v>3</v>
      </c>
      <c r="B155" s="36" t="s">
        <v>48</v>
      </c>
      <c r="C155" s="37"/>
      <c r="D155" s="37"/>
      <c r="E155" s="111"/>
      <c r="F155" s="113"/>
      <c r="M155" s="78"/>
      <c r="N155" s="78"/>
      <c r="O155" s="78"/>
    </row>
    <row r="156" spans="1:20" ht="18" hidden="1" thickBot="1">
      <c r="A156" s="5">
        <v>4</v>
      </c>
      <c r="B156" s="36" t="s">
        <v>39</v>
      </c>
      <c r="C156" s="37" t="s">
        <v>20</v>
      </c>
      <c r="D156" s="37">
        <v>330</v>
      </c>
      <c r="E156" s="111"/>
      <c r="F156" s="56">
        <f>D156*E156</f>
        <v>0</v>
      </c>
      <c r="M156" s="78"/>
      <c r="N156" s="78"/>
      <c r="O156" s="78"/>
    </row>
    <row r="157" spans="1:20" ht="18" hidden="1" thickBot="1">
      <c r="A157" s="5">
        <v>5</v>
      </c>
      <c r="B157" s="36" t="s">
        <v>40</v>
      </c>
      <c r="C157" s="37" t="s">
        <v>20</v>
      </c>
      <c r="D157" s="37">
        <v>70</v>
      </c>
      <c r="E157" s="111"/>
      <c r="F157" s="56">
        <f>D157*E157</f>
        <v>0</v>
      </c>
      <c r="G157" s="82"/>
      <c r="N157" s="78"/>
      <c r="O157" s="78"/>
      <c r="P157" s="80"/>
      <c r="Q157" s="80"/>
      <c r="R157" s="80"/>
      <c r="S157" s="80"/>
      <c r="T157" s="80"/>
    </row>
    <row r="158" spans="1:20" ht="18" hidden="1" thickBot="1">
      <c r="A158" s="5">
        <v>6</v>
      </c>
      <c r="B158" s="38" t="s">
        <v>24</v>
      </c>
      <c r="C158" s="39"/>
      <c r="D158" s="39"/>
      <c r="E158" s="112"/>
      <c r="F158" s="114"/>
      <c r="M158" s="78"/>
      <c r="N158" s="78"/>
      <c r="O158" s="80"/>
      <c r="P158" s="80"/>
      <c r="Q158" s="80"/>
      <c r="R158" s="80"/>
      <c r="S158" s="80"/>
    </row>
    <row r="159" spans="1:20" ht="18" hidden="1" thickBot="1">
      <c r="A159" s="40"/>
      <c r="B159" s="132" t="s">
        <v>51</v>
      </c>
      <c r="C159" s="132"/>
      <c r="D159" s="132"/>
      <c r="E159" s="132"/>
      <c r="F159" s="20">
        <f>SUM(F153:F158)</f>
        <v>0</v>
      </c>
      <c r="M159" s="78"/>
      <c r="N159" s="78"/>
      <c r="O159" s="78"/>
    </row>
    <row r="160" spans="1:20" ht="18" hidden="1" thickBot="1">
      <c r="A160" s="40"/>
      <c r="B160" s="19"/>
      <c r="C160" s="19"/>
      <c r="D160" s="19"/>
      <c r="E160" s="19" t="s">
        <v>146</v>
      </c>
      <c r="F160" s="20">
        <f>F159/8</f>
        <v>0</v>
      </c>
      <c r="M160" s="78"/>
      <c r="N160" s="78"/>
      <c r="O160" s="78"/>
    </row>
    <row r="161" spans="1:7" s="78" customFormat="1" ht="18" hidden="1" thickBot="1">
      <c r="A161" s="3"/>
      <c r="B161" s="32"/>
      <c r="C161" s="33"/>
      <c r="D161" s="33"/>
      <c r="E161" s="33"/>
      <c r="F161" s="34"/>
      <c r="G161" s="81"/>
    </row>
    <row r="162" spans="1:7" ht="18" hidden="1" thickBot="1">
      <c r="A162" s="22"/>
      <c r="B162" s="131" t="s">
        <v>66</v>
      </c>
      <c r="C162" s="131"/>
      <c r="D162" s="131"/>
      <c r="E162" s="131"/>
      <c r="F162" s="23"/>
      <c r="G162" s="81"/>
    </row>
    <row r="163" spans="1:7" ht="18" hidden="1" thickBot="1">
      <c r="A163" s="5">
        <v>1</v>
      </c>
      <c r="B163" s="6" t="s">
        <v>54</v>
      </c>
      <c r="C163" s="41"/>
      <c r="D163" s="41"/>
      <c r="E163" s="115"/>
      <c r="F163" s="126">
        <f>F148+F159</f>
        <v>0</v>
      </c>
      <c r="G163" s="81"/>
    </row>
    <row r="164" spans="1:7" ht="18" hidden="1" thickBot="1">
      <c r="A164" s="5">
        <v>2</v>
      </c>
      <c r="B164" s="9" t="s">
        <v>157</v>
      </c>
      <c r="C164" s="42"/>
      <c r="D164" s="42"/>
      <c r="E164" s="116"/>
      <c r="F164" s="127"/>
      <c r="G164" s="81"/>
    </row>
    <row r="165" spans="1:7" ht="18" hidden="1" thickBot="1">
      <c r="A165" s="43"/>
      <c r="B165" s="130" t="s">
        <v>55</v>
      </c>
      <c r="C165" s="130"/>
      <c r="D165" s="130"/>
      <c r="E165" s="130"/>
      <c r="F165" s="123">
        <f>SUM(F163:F164)</f>
        <v>0</v>
      </c>
      <c r="G165" s="81"/>
    </row>
    <row r="166" spans="1:7" hidden="1">
      <c r="A166" s="5"/>
      <c r="B166" s="44" t="s">
        <v>67</v>
      </c>
      <c r="C166" s="41"/>
      <c r="D166" s="41"/>
      <c r="E166" s="122" t="s">
        <v>146</v>
      </c>
      <c r="F166" s="128">
        <f>F165/8</f>
        <v>0</v>
      </c>
      <c r="G166" s="81"/>
    </row>
    <row r="167" spans="1:7" hidden="1">
      <c r="A167" s="29"/>
      <c r="B167" s="44"/>
      <c r="C167" s="41"/>
      <c r="D167" s="41"/>
      <c r="E167" s="122"/>
      <c r="F167" s="124"/>
      <c r="G167" s="81"/>
    </row>
    <row r="168" spans="1:7" hidden="1">
      <c r="A168" s="8"/>
      <c r="B168" s="45"/>
      <c r="C168" s="42"/>
      <c r="D168" s="42"/>
      <c r="E168" s="116"/>
      <c r="F168" s="125"/>
      <c r="G168" s="81"/>
    </row>
    <row r="169" spans="1:7" hidden="1">
      <c r="A169" s="8"/>
      <c r="B169" s="45"/>
      <c r="C169" s="42"/>
      <c r="D169" s="42"/>
      <c r="E169" s="116"/>
      <c r="F169" s="125"/>
      <c r="G169" s="81"/>
    </row>
    <row r="170" spans="1:7" hidden="1">
      <c r="A170" s="8"/>
      <c r="B170" s="9"/>
      <c r="C170" s="42"/>
      <c r="D170" s="42"/>
      <c r="E170" s="111"/>
      <c r="F170" s="113"/>
      <c r="G170" s="81"/>
    </row>
    <row r="171" spans="1:7" hidden="1">
      <c r="A171" s="8"/>
      <c r="B171" s="9"/>
      <c r="C171" s="42"/>
      <c r="D171" s="42"/>
      <c r="E171" s="116"/>
      <c r="F171" s="119"/>
      <c r="G171" s="81"/>
    </row>
    <row r="172" spans="1:7" hidden="1">
      <c r="A172" s="8"/>
      <c r="B172" s="9"/>
      <c r="C172" s="46"/>
      <c r="D172" s="46"/>
      <c r="E172" s="117"/>
      <c r="F172" s="120"/>
      <c r="G172" s="81"/>
    </row>
    <row r="173" spans="1:7" ht="18" hidden="1" thickBot="1">
      <c r="A173" s="15"/>
      <c r="B173" s="47"/>
      <c r="C173" s="48"/>
      <c r="D173" s="48"/>
      <c r="E173" s="118"/>
      <c r="F173" s="121"/>
      <c r="G173" s="81"/>
    </row>
    <row r="174" spans="1:7" ht="18" thickBot="1">
      <c r="A174" s="78"/>
      <c r="B174" s="79"/>
      <c r="C174" s="80"/>
      <c r="E174" s="129" t="s">
        <v>146</v>
      </c>
      <c r="F174" s="80">
        <f>F133/24</f>
        <v>0</v>
      </c>
      <c r="G174" s="81"/>
    </row>
    <row r="175" spans="1:7">
      <c r="A175" s="78"/>
      <c r="B175" s="79"/>
      <c r="C175" s="80"/>
      <c r="D175" s="80"/>
      <c r="E175" s="80"/>
      <c r="F175" s="80"/>
      <c r="G175" s="81"/>
    </row>
    <row r="176" spans="1:7">
      <c r="A176" s="78"/>
      <c r="B176" s="79"/>
      <c r="C176" s="80"/>
      <c r="D176" s="80"/>
      <c r="E176" s="80"/>
      <c r="F176" s="80"/>
      <c r="G176" s="81"/>
    </row>
    <row r="177" spans="1:7" hidden="1">
      <c r="A177" s="78"/>
      <c r="B177" s="79" t="s">
        <v>137</v>
      </c>
      <c r="C177" s="80" t="s">
        <v>136</v>
      </c>
      <c r="D177" s="80"/>
      <c r="E177" s="80"/>
      <c r="F177" s="80"/>
      <c r="G177" s="81"/>
    </row>
    <row r="178" spans="1:7" hidden="1">
      <c r="A178" s="78"/>
      <c r="B178" s="79" t="s">
        <v>135</v>
      </c>
      <c r="C178" s="80">
        <f>40*0.3*3</f>
        <v>36</v>
      </c>
      <c r="D178" s="80" t="s">
        <v>138</v>
      </c>
      <c r="E178" s="80"/>
      <c r="F178" s="80"/>
      <c r="G178" s="81"/>
    </row>
    <row r="179" spans="1:7" hidden="1">
      <c r="A179" s="78"/>
      <c r="B179" s="79" t="s">
        <v>139</v>
      </c>
      <c r="C179" s="80">
        <f>C178*650</f>
        <v>23400</v>
      </c>
      <c r="D179" s="80" t="s">
        <v>140</v>
      </c>
      <c r="E179" s="80"/>
      <c r="F179" s="80">
        <f>C183/0.3/0.2/0.6</f>
        <v>91666.666666666672</v>
      </c>
      <c r="G179" s="81"/>
    </row>
    <row r="180" spans="1:7" hidden="1">
      <c r="A180" s="78"/>
      <c r="B180" s="79" t="s">
        <v>141</v>
      </c>
      <c r="C180" s="80">
        <f>C178*0.1</f>
        <v>3.6</v>
      </c>
      <c r="D180" s="80"/>
      <c r="E180" s="80"/>
      <c r="F180" s="80"/>
      <c r="G180" s="81"/>
    </row>
    <row r="181" spans="1:7" hidden="1">
      <c r="A181" s="78"/>
      <c r="B181" s="79" t="s">
        <v>139</v>
      </c>
      <c r="C181" s="80"/>
      <c r="D181" s="80"/>
      <c r="E181" s="80"/>
      <c r="F181" s="80"/>
      <c r="G181" s="81"/>
    </row>
    <row r="182" spans="1:7" hidden="1">
      <c r="A182" s="78"/>
      <c r="B182" s="79"/>
      <c r="C182" s="80">
        <f>100*3</f>
        <v>300</v>
      </c>
      <c r="D182" s="80" t="s">
        <v>138</v>
      </c>
      <c r="E182" s="80"/>
      <c r="F182" s="80"/>
      <c r="G182" s="81"/>
    </row>
    <row r="183" spans="1:7" hidden="1">
      <c r="A183" s="78"/>
      <c r="B183" s="79" t="s">
        <v>142</v>
      </c>
      <c r="C183" s="80">
        <f>C182*11</f>
        <v>3300</v>
      </c>
      <c r="D183" s="80">
        <f>C183*0.3*0.2*0.6</f>
        <v>118.8</v>
      </c>
      <c r="E183" s="80"/>
      <c r="F183" s="80">
        <f>1/0.2/0.6</f>
        <v>8.3333333333333339</v>
      </c>
      <c r="G183" s="81"/>
    </row>
    <row r="184" spans="1:7" hidden="1">
      <c r="A184" s="78"/>
      <c r="B184" s="79" t="s">
        <v>5</v>
      </c>
      <c r="C184" s="80">
        <f>C182*16</f>
        <v>4800</v>
      </c>
      <c r="D184" s="80"/>
      <c r="E184" s="80"/>
      <c r="F184" s="80"/>
      <c r="G184" s="81"/>
    </row>
    <row r="185" spans="1:7" hidden="1">
      <c r="A185" s="78"/>
      <c r="B185" s="79"/>
      <c r="C185" s="80"/>
      <c r="D185" s="80"/>
      <c r="E185" s="80"/>
      <c r="F185" s="80"/>
      <c r="G185" s="81"/>
    </row>
    <row r="186" spans="1:7" hidden="1">
      <c r="A186" s="78"/>
      <c r="B186" s="83">
        <f>C186*2</f>
        <v>72</v>
      </c>
      <c r="C186" s="80">
        <f>40*3*0.3</f>
        <v>36</v>
      </c>
      <c r="D186" s="80">
        <f>C186*650</f>
        <v>23400</v>
      </c>
      <c r="E186" s="80"/>
      <c r="F186" s="80"/>
      <c r="G186" s="81"/>
    </row>
    <row r="187" spans="1:7" hidden="1">
      <c r="A187" s="78"/>
      <c r="B187" s="79"/>
      <c r="C187" s="80">
        <f>C186*0.08</f>
        <v>2.88</v>
      </c>
      <c r="D187" s="80">
        <f>C187*450</f>
        <v>1296</v>
      </c>
      <c r="E187" s="80"/>
      <c r="F187" s="80"/>
      <c r="G187" s="81"/>
    </row>
    <row r="188" spans="1:7" hidden="1">
      <c r="A188" s="78"/>
      <c r="B188" s="79"/>
      <c r="C188" s="80"/>
      <c r="D188" s="80">
        <f>0.06*8000*40+0.3*0.3*40*(480+350)+2*250+40*2*0.3*0.015</f>
        <v>22688.36</v>
      </c>
      <c r="E188" s="80"/>
      <c r="F188" s="80"/>
      <c r="G188" s="81"/>
    </row>
    <row r="189" spans="1:7" hidden="1">
      <c r="A189" s="78"/>
      <c r="B189" s="79"/>
      <c r="C189" s="80"/>
      <c r="D189" s="80">
        <f>D186</f>
        <v>23400</v>
      </c>
      <c r="E189" s="80"/>
      <c r="F189" s="80"/>
      <c r="G189" s="81"/>
    </row>
    <row r="190" spans="1:7" hidden="1">
      <c r="A190" s="78"/>
      <c r="B190" s="79"/>
      <c r="C190" s="80"/>
      <c r="D190" s="80">
        <f>D187</f>
        <v>1296</v>
      </c>
      <c r="E190" s="80"/>
      <c r="F190" s="80"/>
      <c r="G190" s="81"/>
    </row>
    <row r="191" spans="1:7" hidden="1">
      <c r="A191" s="78"/>
      <c r="B191" s="79"/>
      <c r="C191" s="80"/>
      <c r="D191" s="80">
        <f>C186*2*180</f>
        <v>12960</v>
      </c>
      <c r="E191" s="80"/>
      <c r="F191" s="80"/>
      <c r="G191" s="81"/>
    </row>
    <row r="192" spans="1:7" hidden="1">
      <c r="B192" s="78"/>
      <c r="C192" s="78" t="s">
        <v>143</v>
      </c>
      <c r="D192" s="78">
        <f>SUM(D186:D191)</f>
        <v>85040.36</v>
      </c>
      <c r="E192" s="78">
        <f>D192/100</f>
        <v>850.40359999999998</v>
      </c>
      <c r="F192" s="78"/>
    </row>
    <row r="193" spans="2:7" hidden="1">
      <c r="B193" s="78"/>
      <c r="C193" s="78"/>
      <c r="D193" s="78"/>
      <c r="E193" s="78"/>
      <c r="F193" s="78"/>
    </row>
    <row r="194" spans="2:7" hidden="1">
      <c r="B194" s="1">
        <f>C194*2</f>
        <v>91.2</v>
      </c>
      <c r="C194" s="1">
        <f>40*3*0.38</f>
        <v>45.6</v>
      </c>
      <c r="D194" s="1">
        <f>C194*400*1.25</f>
        <v>22800</v>
      </c>
    </row>
    <row r="195" spans="2:7" hidden="1">
      <c r="C195" s="1">
        <f>C194*0.3</f>
        <v>13.68</v>
      </c>
      <c r="D195" s="1">
        <f>C195*450</f>
        <v>6156</v>
      </c>
    </row>
    <row r="196" spans="2:7" hidden="1">
      <c r="D196" s="1">
        <f>D194</f>
        <v>22800</v>
      </c>
    </row>
    <row r="197" spans="2:7" hidden="1">
      <c r="D197" s="1">
        <f>D195</f>
        <v>6156</v>
      </c>
    </row>
    <row r="198" spans="2:7" hidden="1">
      <c r="D198" s="1">
        <f>C194*2*220</f>
        <v>20064</v>
      </c>
    </row>
    <row r="199" spans="2:7" hidden="1">
      <c r="D199" s="1">
        <f>SUM(D194:D198)</f>
        <v>77976</v>
      </c>
      <c r="E199" s="1">
        <f>D199/100</f>
        <v>779.76</v>
      </c>
    </row>
    <row r="200" spans="2:7" hidden="1">
      <c r="E200" s="1">
        <f>E192-E199</f>
        <v>70.643599999999992</v>
      </c>
      <c r="F200" s="1">
        <f>E200*40</f>
        <v>2825.7439999999997</v>
      </c>
      <c r="G200" s="75">
        <f>D192-D199</f>
        <v>7064.3600000000006</v>
      </c>
    </row>
    <row r="201" spans="2:7" hidden="1"/>
  </sheetData>
  <mergeCells count="16">
    <mergeCell ref="B159:E159"/>
    <mergeCell ref="B162:E162"/>
    <mergeCell ref="B165:E165"/>
    <mergeCell ref="B134:E134"/>
    <mergeCell ref="B144:E144"/>
    <mergeCell ref="B111:E111"/>
    <mergeCell ref="B147:E147"/>
    <mergeCell ref="B150:E150"/>
    <mergeCell ref="B152:E152"/>
    <mergeCell ref="B3:E3"/>
    <mergeCell ref="B70:E70"/>
    <mergeCell ref="B94:E94"/>
    <mergeCell ref="B67:E67"/>
    <mergeCell ref="B110:E110"/>
    <mergeCell ref="B131:E131"/>
    <mergeCell ref="B114:E1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чистый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2016-05-04T09:41:52Z</dcterms:modified>
</cp:coreProperties>
</file>